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hartsheets/sheet2.xml" ContentType="application/vnd.openxmlformats-officedocument.spreadsheetml.chart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8.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autoCompressPictures="0"/>
  <mc:AlternateContent xmlns:mc="http://schemas.openxmlformats.org/markup-compatibility/2006">
    <mc:Choice Requires="x15">
      <x15ac:absPath xmlns:x15ac="http://schemas.microsoft.com/office/spreadsheetml/2010/11/ac" url="/Users/stacyossowicz/Dropbox (TCS)/1- Trifecta Construction Server/Clients/DEO/MICHAEL/"/>
    </mc:Choice>
  </mc:AlternateContent>
  <xr:revisionPtr revIDLastSave="0" documentId="13_ncr:1_{5DA5FDDC-06F3-A443-95FE-7B336FB62B11}" xr6:coauthVersionLast="47" xr6:coauthVersionMax="47" xr10:uidLastSave="{00000000-0000-0000-0000-000000000000}"/>
  <bookViews>
    <workbookView xWindow="0" yWindow="500" windowWidth="24460" windowHeight="26380" tabRatio="966" firstSheet="1" activeTab="4" xr2:uid="{00000000-000D-0000-FFFF-FFFF00000000}"/>
  </bookViews>
  <sheets>
    <sheet name="1. Instructions" sheetId="1" r:id="rId1"/>
    <sheet name="2. Registration" sheetId="16" r:id="rId2"/>
    <sheet name="Final Form" sheetId="11" state="hidden" r:id="rId3"/>
    <sheet name="Progress JL" sheetId="12" state="hidden" r:id="rId4"/>
    <sheet name="3. Application" sheetId="13" r:id="rId5"/>
    <sheet name="4. SUMMARY" sheetId="14" r:id="rId6"/>
    <sheet name="5. Summary Bar Chart" sheetId="15" r:id="rId7"/>
    <sheet name="6. Pre-requisites" sheetId="2" r:id="rId8"/>
    <sheet name="7. Energy" sheetId="3" r:id="rId9"/>
    <sheet name="E1.01b Multi-Fam Energy Option" sheetId="25" r:id="rId10"/>
    <sheet name="8. Water" sheetId="4" r:id="rId11"/>
    <sheet name="9. Lot Choice" sheetId="5" r:id="rId12"/>
    <sheet name="10. Site" sheetId="6" r:id="rId13"/>
    <sheet name="11. Health" sheetId="7" r:id="rId14"/>
    <sheet name="12. Materials" sheetId="8" r:id="rId15"/>
    <sheet name="13. Disaster Mitigation" sheetId="9" r:id="rId16"/>
    <sheet name="14. General" sheetId="10" r:id="rId17"/>
    <sheet name="15. Existing Home Application" sheetId="18" r:id="rId18"/>
    <sheet name="16. Existing Home SUM" sheetId="17" state="hidden" r:id="rId19"/>
    <sheet name="4. Existing Home SUMMARY" sheetId="23" state="hidden" r:id="rId20"/>
    <sheet name="17. Existing Home Bar Chart" sheetId="19" state="hidden" r:id="rId21"/>
    <sheet name="18. Multi-Family Application" sheetId="24" r:id="rId22"/>
  </sheets>
  <definedNames>
    <definedName name="alllavsink">'8. Water'!$G$110:$G$113</definedName>
    <definedName name="CA_Num">'3. Application'!$C$53</definedName>
    <definedName name="ddoneandtwo">'13. Disaster Mitigation'!$G$86:$G$89</definedName>
    <definedName name="DM6.01">'13. Disaster Mitigation'!$B$50</definedName>
    <definedName name="dropdownone" localSheetId="17">'9. Lot Choice'!#REF!</definedName>
    <definedName name="dropdownone" localSheetId="18">'9. Lot Choice'!#REF!</definedName>
    <definedName name="dropdownone" localSheetId="21">'9. Lot Choice'!#REF!</definedName>
    <definedName name="dropdownone" localSheetId="19">'9. Lot Choice'!#REF!</definedName>
    <definedName name="dropdownone">'9. Lot Choice'!#REF!</definedName>
    <definedName name="dropdownonematerials">'12. Materials'!$H$68:$H$70</definedName>
    <definedName name="dropdowntwodisaster">'13. Disaster Mitigation'!$G$73:$G$75</definedName>
    <definedName name="EShome">'14. General'!$B$36</definedName>
    <definedName name="FGBC_Street">'1. Instructions'!$B$47</definedName>
    <definedName name="GFGBC_City">'1. Instructions'!$B$48</definedName>
    <definedName name="Instructions">'1. Instructions'!$A$1:$C$48</definedName>
    <definedName name="NA?yesno" localSheetId="17">#REF!</definedName>
    <definedName name="NA?yesno" localSheetId="18">#REF!</definedName>
    <definedName name="NA?yesno" localSheetId="21">#REF!</definedName>
    <definedName name="NA?yesno" localSheetId="19">#REF!</definedName>
    <definedName name="NA?yesno">#REF!</definedName>
    <definedName name="NoSprinkSys">'8. Water'!$B$39</definedName>
    <definedName name="Plant2ft">'12. Materials'!$B$47</definedName>
    <definedName name="PreApplication">'2. Registration'!$A$1:$H$44</definedName>
    <definedName name="Prerequisites">'6. Pre-requisites'!$A$1:$E$20</definedName>
    <definedName name="_xlnm.Print_Area" localSheetId="0">'1. Instructions'!$A$1:$C$48</definedName>
    <definedName name="_xlnm.Print_Area" localSheetId="12">'10. Site'!$A$1:$H$40</definedName>
    <definedName name="_xlnm.Print_Area" localSheetId="13">'11. Health'!$A$1:$H$62</definedName>
    <definedName name="_xlnm.Print_Area" localSheetId="14">'12. Materials'!$A$1:$H$57</definedName>
    <definedName name="_xlnm.Print_Area" localSheetId="15">'13. Disaster Mitigation'!$A$1:$F$60</definedName>
    <definedName name="_xlnm.Print_Area" localSheetId="16">'14. General'!$A$1:$F$44</definedName>
    <definedName name="_xlnm.Print_Area" localSheetId="17">'15. Existing Home Application'!$A$1:$F$75</definedName>
    <definedName name="_xlnm.Print_Area" localSheetId="18">'16. Existing Home SUM'!$A$1:$G$399</definedName>
    <definedName name="_xlnm.Print_Area" localSheetId="21">'18. Multi-Family Application'!$A$1:$F$75</definedName>
    <definedName name="_xlnm.Print_Area" localSheetId="4">'3. Application'!$A$1:$F$74</definedName>
    <definedName name="_xlnm.Print_Area" localSheetId="19">'4. Existing Home SUMMARY'!$A$1:$G$396</definedName>
    <definedName name="_xlnm.Print_Area" localSheetId="5">'4. SUMMARY'!$A$6:$G$411</definedName>
    <definedName name="_xlnm.Print_Area" localSheetId="8">'7. Energy'!$A$1:$F$76</definedName>
    <definedName name="_xlnm.Print_Area" localSheetId="10">'8. Water'!$A$1:$F$68</definedName>
    <definedName name="_xlnm.Print_Area" localSheetId="11">'9. Lot Choice'!$A$1:$G$45</definedName>
    <definedName name="_xlnm.Print_Area" localSheetId="9">'E1.01b Multi-Fam Energy Option'!$A$1:$F$65</definedName>
    <definedName name="_xlnm.Print_Area" localSheetId="2">'Final Form'!$B$1:$H$433</definedName>
    <definedName name="question12">'14. General'!$G$64:$G$66</definedName>
    <definedName name="question12dash">'14. General'!$G$63:$G$66</definedName>
    <definedName name="SealSlabPene">'11. Health'!$B$19</definedName>
    <definedName name="Sprink2ft">'12. Materials'!$B$48</definedName>
    <definedName name="SqFt">'3. Application'!$E$44</definedName>
    <definedName name="Termites">'13. Disaster Mitigation'!$B$34</definedName>
    <definedName name="understand">'10. Site'!$I$51:$I$53</definedName>
  </definedNames>
  <calcPr calcId="191029" concurrentCalc="0"/>
  <fileRecoveryPr autoRecover="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6" i="10" l="1"/>
  <c r="B12" i="3"/>
  <c r="B30" i="14"/>
  <c r="D26" i="14"/>
  <c r="B31" i="14"/>
  <c r="B34" i="14"/>
  <c r="A3" i="14"/>
  <c r="B5" i="10"/>
  <c r="B18" i="10"/>
  <c r="B29" i="10"/>
  <c r="B40" i="10"/>
  <c r="B42" i="10"/>
  <c r="B391" i="14"/>
  <c r="E403" i="14"/>
  <c r="B20" i="3"/>
  <c r="H56" i="3"/>
  <c r="H57" i="3"/>
  <c r="B39" i="3"/>
  <c r="G63" i="3"/>
  <c r="G61" i="3"/>
  <c r="B5" i="3"/>
  <c r="B26" i="3"/>
  <c r="B49" i="3"/>
  <c r="B51" i="3"/>
  <c r="B69" i="14"/>
  <c r="E396" i="14"/>
  <c r="G128" i="4"/>
  <c r="B42" i="4"/>
  <c r="G129" i="4"/>
  <c r="B49" i="4"/>
  <c r="B62" i="4"/>
  <c r="B64" i="4"/>
  <c r="B118" i="14"/>
  <c r="E397" i="14"/>
  <c r="B157" i="14"/>
  <c r="E398" i="14"/>
  <c r="B8" i="6"/>
  <c r="B12" i="6"/>
  <c r="B17" i="6"/>
  <c r="D35" i="6"/>
  <c r="B30" i="6"/>
  <c r="B36" i="6"/>
  <c r="B38" i="6"/>
  <c r="B192" i="14"/>
  <c r="E399" i="14"/>
  <c r="B8" i="7"/>
  <c r="I131" i="7"/>
  <c r="I132" i="7"/>
  <c r="I133" i="7"/>
  <c r="B38" i="7"/>
  <c r="B58" i="7"/>
  <c r="B60" i="7"/>
  <c r="B247" i="14"/>
  <c r="E400" i="14"/>
  <c r="B18" i="8"/>
  <c r="B6" i="8"/>
  <c r="B31" i="8"/>
  <c r="B53" i="8"/>
  <c r="B55" i="8"/>
  <c r="B302" i="14"/>
  <c r="E401" i="14"/>
  <c r="B22" i="9"/>
  <c r="B25" i="9"/>
  <c r="D31" i="9"/>
  <c r="B34" i="9"/>
  <c r="B56" i="9"/>
  <c r="B58" i="9"/>
  <c r="B353" i="14"/>
  <c r="E402" i="14"/>
  <c r="E404" i="14"/>
  <c r="D71" i="13"/>
  <c r="N2" i="12"/>
  <c r="N3" i="12"/>
  <c r="O3" i="12"/>
  <c r="P2" i="12"/>
  <c r="Q2" i="12"/>
  <c r="P3" i="12"/>
  <c r="Q3" i="12"/>
  <c r="D5" i="12"/>
  <c r="G19" i="12"/>
  <c r="E405" i="14"/>
  <c r="D72" i="13"/>
  <c r="D88" i="13"/>
  <c r="D74" i="13"/>
  <c r="I56" i="5"/>
  <c r="I57" i="5"/>
  <c r="I58" i="5"/>
  <c r="I59" i="5"/>
  <c r="I60" i="5"/>
  <c r="I61" i="5"/>
  <c r="I62" i="5"/>
  <c r="I63" i="5"/>
  <c r="I64" i="5"/>
  <c r="I65" i="5"/>
  <c r="I66" i="5"/>
  <c r="I67" i="5"/>
  <c r="I68" i="5"/>
  <c r="I69" i="5"/>
  <c r="I70" i="5"/>
  <c r="I55" i="5"/>
  <c r="I81" i="5"/>
  <c r="I82" i="5"/>
  <c r="B12" i="5"/>
  <c r="I71" i="5"/>
  <c r="I72" i="5"/>
  <c r="I73" i="5"/>
  <c r="I74" i="5"/>
  <c r="I75" i="5"/>
  <c r="I76" i="5"/>
  <c r="I77" i="5"/>
  <c r="I78" i="5"/>
  <c r="I79" i="5"/>
  <c r="I80" i="5"/>
  <c r="D125" i="14"/>
  <c r="B28" i="25"/>
  <c r="B108" i="14"/>
  <c r="B365" i="14"/>
  <c r="B366" i="14"/>
  <c r="B367" i="14"/>
  <c r="B364" i="14"/>
  <c r="B350" i="14"/>
  <c r="B349" i="14"/>
  <c r="B348" i="14"/>
  <c r="B269" i="14"/>
  <c r="B81" i="14"/>
  <c r="B13" i="25"/>
  <c r="B17" i="25"/>
  <c r="B37" i="25"/>
  <c r="K36" i="25"/>
  <c r="AA36" i="25"/>
  <c r="J36" i="25"/>
  <c r="K35" i="25"/>
  <c r="AA35" i="25"/>
  <c r="J35" i="25"/>
  <c r="K34" i="25"/>
  <c r="AA34" i="25"/>
  <c r="J34" i="25"/>
  <c r="K33" i="25"/>
  <c r="AA33" i="25"/>
  <c r="J33" i="25"/>
  <c r="J32" i="25"/>
  <c r="K31" i="25"/>
  <c r="AA31" i="25"/>
  <c r="J31" i="25"/>
  <c r="J22" i="8"/>
  <c r="E59" i="25"/>
  <c r="H45" i="25"/>
  <c r="H46" i="25"/>
  <c r="K26" i="25"/>
  <c r="AA26" i="25"/>
  <c r="J26" i="25"/>
  <c r="K25" i="25"/>
  <c r="AA25" i="25"/>
  <c r="J25" i="25"/>
  <c r="K24" i="25"/>
  <c r="AA24" i="25"/>
  <c r="J24" i="25"/>
  <c r="K23" i="25"/>
  <c r="AA23" i="25"/>
  <c r="J23" i="25"/>
  <c r="K22" i="25"/>
  <c r="AA22" i="25"/>
  <c r="J22" i="25"/>
  <c r="J21" i="25"/>
  <c r="K20" i="25"/>
  <c r="AA20" i="25"/>
  <c r="J20" i="25"/>
  <c r="J16" i="25"/>
  <c r="K7" i="25"/>
  <c r="AA7" i="25"/>
  <c r="K16" i="25"/>
  <c r="AA16" i="25"/>
  <c r="C157" i="14"/>
  <c r="D155" i="14"/>
  <c r="D154" i="14"/>
  <c r="D153" i="14"/>
  <c r="C153" i="14"/>
  <c r="B153" i="14"/>
  <c r="E152" i="14"/>
  <c r="D152" i="14"/>
  <c r="E151" i="14"/>
  <c r="D151" i="14"/>
  <c r="E150" i="14"/>
  <c r="D150" i="14"/>
  <c r="E149" i="14"/>
  <c r="D149" i="14"/>
  <c r="E148" i="14"/>
  <c r="D148" i="14"/>
  <c r="E147" i="14"/>
  <c r="D147" i="14"/>
  <c r="B217" i="14"/>
  <c r="B225" i="14"/>
  <c r="B224" i="14"/>
  <c r="C221" i="14"/>
  <c r="C222" i="14"/>
  <c r="C223" i="14"/>
  <c r="C224" i="14"/>
  <c r="C225" i="14"/>
  <c r="C217" i="14"/>
  <c r="C218" i="14"/>
  <c r="C219" i="14"/>
  <c r="C220" i="14"/>
  <c r="D225" i="14"/>
  <c r="D224" i="14"/>
  <c r="D223" i="14"/>
  <c r="D222" i="14"/>
  <c r="D221" i="14"/>
  <c r="D220" i="14"/>
  <c r="D219" i="14"/>
  <c r="D218" i="14"/>
  <c r="D217" i="14"/>
  <c r="A225" i="14"/>
  <c r="A224" i="14"/>
  <c r="A223" i="14"/>
  <c r="A222" i="14"/>
  <c r="A221" i="14"/>
  <c r="A220" i="14"/>
  <c r="A219" i="14"/>
  <c r="A218" i="14"/>
  <c r="A217" i="14"/>
  <c r="J29" i="7"/>
  <c r="J30" i="7"/>
  <c r="J35" i="7"/>
  <c r="K34" i="7"/>
  <c r="J34" i="7"/>
  <c r="K35" i="7"/>
  <c r="K36" i="7"/>
  <c r="D33" i="9"/>
  <c r="B23" i="23"/>
  <c r="D32" i="9"/>
  <c r="B90" i="7"/>
  <c r="B136" i="17"/>
  <c r="B28" i="4"/>
  <c r="B37" i="23"/>
  <c r="J26" i="3"/>
  <c r="I38" i="5"/>
  <c r="I37" i="5"/>
  <c r="I36" i="5"/>
  <c r="I35" i="5"/>
  <c r="I34" i="5"/>
  <c r="I33" i="5"/>
  <c r="I32" i="5"/>
  <c r="I31" i="5"/>
  <c r="I30" i="5"/>
  <c r="I29" i="5"/>
  <c r="I28" i="5"/>
  <c r="I27" i="5"/>
  <c r="I26" i="5"/>
  <c r="I25" i="5"/>
  <c r="I24" i="5"/>
  <c r="I23" i="5"/>
  <c r="I22" i="5"/>
  <c r="I21" i="5"/>
  <c r="I20" i="5"/>
  <c r="I19" i="5"/>
  <c r="I18" i="5"/>
  <c r="I17" i="5"/>
  <c r="I16" i="5"/>
  <c r="I15" i="5"/>
  <c r="I14" i="5"/>
  <c r="J18" i="10"/>
  <c r="B17" i="9"/>
  <c r="B253" i="14"/>
  <c r="B258" i="11"/>
  <c r="B27" i="8"/>
  <c r="B272" i="23"/>
  <c r="B276" i="23"/>
  <c r="J8" i="7"/>
  <c r="K38" i="7"/>
  <c r="T38" i="7"/>
  <c r="D34" i="6"/>
  <c r="B173" i="17"/>
  <c r="B177" i="17"/>
  <c r="G132" i="4"/>
  <c r="A29" i="24"/>
  <c r="A28" i="24"/>
  <c r="E24" i="24"/>
  <c r="A10" i="24"/>
  <c r="A5" i="24"/>
  <c r="A4" i="24"/>
  <c r="A2" i="24"/>
  <c r="G395" i="23"/>
  <c r="G394" i="23"/>
  <c r="D377" i="23"/>
  <c r="D373" i="23"/>
  <c r="B371" i="23"/>
  <c r="B370" i="23"/>
  <c r="B369" i="23"/>
  <c r="B368" i="23"/>
  <c r="B367" i="23"/>
  <c r="D366" i="23"/>
  <c r="B363" i="23"/>
  <c r="B362" i="23"/>
  <c r="B361" i="23"/>
  <c r="B360" i="23"/>
  <c r="B359" i="23"/>
  <c r="D357" i="23"/>
  <c r="B354" i="23"/>
  <c r="B353" i="23"/>
  <c r="B352" i="23"/>
  <c r="G346" i="23"/>
  <c r="D345" i="23"/>
  <c r="B341" i="23"/>
  <c r="D340" i="23"/>
  <c r="D337" i="23"/>
  <c r="D336" i="23"/>
  <c r="D333" i="23"/>
  <c r="D332" i="23"/>
  <c r="D331" i="23"/>
  <c r="D330" i="23"/>
  <c r="D329" i="23"/>
  <c r="B323" i="23"/>
  <c r="D320" i="23"/>
  <c r="D319" i="23"/>
  <c r="D318" i="23"/>
  <c r="D316" i="23"/>
  <c r="D315" i="23"/>
  <c r="D314" i="23"/>
  <c r="B314" i="23"/>
  <c r="B312" i="23"/>
  <c r="B311" i="23"/>
  <c r="B310" i="23"/>
  <c r="B309" i="23"/>
  <c r="B308" i="23"/>
  <c r="B307" i="23"/>
  <c r="B306" i="23"/>
  <c r="B305" i="23"/>
  <c r="G302" i="23"/>
  <c r="D301" i="23"/>
  <c r="B297" i="23"/>
  <c r="B296" i="23"/>
  <c r="B295" i="23"/>
  <c r="B294" i="23"/>
  <c r="B293" i="23"/>
  <c r="B292" i="23"/>
  <c r="B291" i="23"/>
  <c r="B290" i="23"/>
  <c r="B289" i="23"/>
  <c r="B288" i="23"/>
  <c r="B287" i="23"/>
  <c r="B284" i="23"/>
  <c r="B283" i="23"/>
  <c r="B282" i="23"/>
  <c r="B281" i="23"/>
  <c r="B280" i="23"/>
  <c r="B279" i="23"/>
  <c r="B278" i="23"/>
  <c r="F277" i="23"/>
  <c r="D277" i="23"/>
  <c r="B275" i="23"/>
  <c r="D274" i="23"/>
  <c r="D273" i="23"/>
  <c r="B271" i="23"/>
  <c r="B270" i="23"/>
  <c r="D267" i="23"/>
  <c r="D266" i="23"/>
  <c r="D265" i="23"/>
  <c r="B263" i="23"/>
  <c r="B262" i="23"/>
  <c r="B261" i="23"/>
  <c r="B260" i="23"/>
  <c r="B259" i="23"/>
  <c r="B258" i="23"/>
  <c r="B257" i="23"/>
  <c r="B256" i="23"/>
  <c r="B255" i="23"/>
  <c r="D254" i="23"/>
  <c r="D253" i="23"/>
  <c r="B251" i="23"/>
  <c r="G248" i="23"/>
  <c r="D247" i="23"/>
  <c r="B243" i="23"/>
  <c r="B242" i="23"/>
  <c r="B241" i="23"/>
  <c r="B240" i="23"/>
  <c r="B239" i="23"/>
  <c r="B238" i="23"/>
  <c r="B237" i="23"/>
  <c r="B236" i="23"/>
  <c r="B235" i="23"/>
  <c r="B234" i="23"/>
  <c r="B233" i="23"/>
  <c r="B231" i="23"/>
  <c r="B229" i="23"/>
  <c r="F228" i="23"/>
  <c r="F227" i="23"/>
  <c r="D227" i="23"/>
  <c r="B224" i="23"/>
  <c r="B223" i="23"/>
  <c r="B222" i="23"/>
  <c r="B221" i="23"/>
  <c r="B220" i="23"/>
  <c r="B219" i="23"/>
  <c r="B218" i="23"/>
  <c r="B217" i="23"/>
  <c r="B216" i="23"/>
  <c r="B214" i="23"/>
  <c r="B213" i="23"/>
  <c r="B212" i="23"/>
  <c r="B211" i="23"/>
  <c r="B210" i="23"/>
  <c r="B209" i="23"/>
  <c r="B208" i="23"/>
  <c r="B207" i="23"/>
  <c r="F205" i="23"/>
  <c r="F204" i="23"/>
  <c r="D204" i="23"/>
  <c r="F203" i="23"/>
  <c r="D203" i="23"/>
  <c r="F202" i="23"/>
  <c r="D202" i="23"/>
  <c r="B199" i="23"/>
  <c r="B198" i="23"/>
  <c r="B197" i="23"/>
  <c r="G194" i="23"/>
  <c r="D193" i="23"/>
  <c r="F34" i="6"/>
  <c r="F192" i="17"/>
  <c r="F188" i="23"/>
  <c r="F187" i="23"/>
  <c r="D187" i="23"/>
  <c r="F186" i="23"/>
  <c r="D186" i="23"/>
  <c r="B183" i="23"/>
  <c r="B182" i="23"/>
  <c r="B180" i="23"/>
  <c r="B179" i="23"/>
  <c r="B178" i="23"/>
  <c r="B177" i="23"/>
  <c r="B176" i="23"/>
  <c r="F174" i="23"/>
  <c r="B173" i="23"/>
  <c r="B172" i="23"/>
  <c r="D170" i="23"/>
  <c r="B169" i="23"/>
  <c r="B168" i="23"/>
  <c r="D167" i="23"/>
  <c r="B164" i="23"/>
  <c r="B161" i="23"/>
  <c r="D158" i="23"/>
  <c r="B154" i="23"/>
  <c r="B153" i="23"/>
  <c r="D152" i="23"/>
  <c r="D151" i="23"/>
  <c r="D150" i="23"/>
  <c r="D149" i="23"/>
  <c r="D148" i="23"/>
  <c r="D147" i="23"/>
  <c r="D146" i="23"/>
  <c r="D145" i="23"/>
  <c r="D144" i="23"/>
  <c r="D143" i="23"/>
  <c r="D142" i="23"/>
  <c r="D141" i="23"/>
  <c r="D140" i="23"/>
  <c r="D139" i="23"/>
  <c r="D138" i="23"/>
  <c r="D137" i="23"/>
  <c r="D136" i="23"/>
  <c r="D135" i="23"/>
  <c r="D134" i="23"/>
  <c r="D133" i="23"/>
  <c r="B131" i="23"/>
  <c r="B130" i="23"/>
  <c r="B129" i="23"/>
  <c r="B128" i="23"/>
  <c r="B127" i="23"/>
  <c r="D126" i="23"/>
  <c r="E125" i="23"/>
  <c r="D125" i="23"/>
  <c r="G122" i="23"/>
  <c r="D121" i="23"/>
  <c r="D120" i="23"/>
  <c r="D119" i="23"/>
  <c r="B115" i="23"/>
  <c r="B114" i="23"/>
  <c r="B112" i="23"/>
  <c r="B111" i="23"/>
  <c r="B110" i="23"/>
  <c r="C109" i="23"/>
  <c r="C108" i="23"/>
  <c r="D106" i="23"/>
  <c r="D105" i="23"/>
  <c r="D104" i="23"/>
  <c r="D103" i="23"/>
  <c r="D102" i="23"/>
  <c r="B99" i="23"/>
  <c r="B98" i="23"/>
  <c r="B96" i="23"/>
  <c r="B95" i="23"/>
  <c r="B94" i="23"/>
  <c r="B93" i="23"/>
  <c r="B92" i="23"/>
  <c r="B91" i="23"/>
  <c r="B90" i="23"/>
  <c r="D89" i="23"/>
  <c r="B87" i="23"/>
  <c r="B85" i="23"/>
  <c r="B84" i="23"/>
  <c r="B83" i="23"/>
  <c r="B82" i="23"/>
  <c r="B80" i="23"/>
  <c r="B78" i="23"/>
  <c r="B76" i="23"/>
  <c r="B75" i="23"/>
  <c r="B74" i="23"/>
  <c r="B73" i="23"/>
  <c r="B72" i="23"/>
  <c r="D71" i="23"/>
  <c r="B70" i="23"/>
  <c r="A68" i="23"/>
  <c r="G66" i="23"/>
  <c r="D65" i="23"/>
  <c r="D64" i="23"/>
  <c r="B59" i="23"/>
  <c r="B58" i="23"/>
  <c r="B57" i="23"/>
  <c r="B56" i="23"/>
  <c r="B55" i="23"/>
  <c r="D54" i="23"/>
  <c r="D53" i="23"/>
  <c r="D52" i="23"/>
  <c r="B50" i="23"/>
  <c r="B49" i="23"/>
  <c r="B48" i="23"/>
  <c r="B47" i="23"/>
  <c r="B46" i="23"/>
  <c r="B45" i="23"/>
  <c r="B44" i="23"/>
  <c r="B43" i="23"/>
  <c r="B42" i="23"/>
  <c r="D41" i="23"/>
  <c r="D40" i="23"/>
  <c r="D39" i="23"/>
  <c r="D38" i="23"/>
  <c r="D36" i="23"/>
  <c r="B35" i="23"/>
  <c r="B34" i="23"/>
  <c r="B33" i="23"/>
  <c r="D32" i="23"/>
  <c r="B30" i="23"/>
  <c r="B29" i="23"/>
  <c r="B28" i="23"/>
  <c r="B27" i="23"/>
  <c r="B26" i="23"/>
  <c r="B25" i="23"/>
  <c r="B24" i="23"/>
  <c r="D21" i="23"/>
  <c r="D20" i="23"/>
  <c r="G16" i="23"/>
  <c r="C15" i="23"/>
  <c r="B14" i="23"/>
  <c r="B12" i="23"/>
  <c r="B11" i="23"/>
  <c r="B10" i="23"/>
  <c r="B9" i="23"/>
  <c r="B7" i="23"/>
  <c r="B6" i="23"/>
  <c r="B5" i="23"/>
  <c r="B4" i="23"/>
  <c r="B3" i="23"/>
  <c r="G1" i="23"/>
  <c r="G398" i="17"/>
  <c r="G397" i="17"/>
  <c r="D380" i="17"/>
  <c r="D376" i="17"/>
  <c r="B374" i="17"/>
  <c r="B373" i="17"/>
  <c r="B372" i="17"/>
  <c r="B371" i="17"/>
  <c r="B370" i="17"/>
  <c r="D369" i="17"/>
  <c r="B368" i="17"/>
  <c r="B366" i="17"/>
  <c r="B365" i="17"/>
  <c r="B364" i="17"/>
  <c r="B363" i="17"/>
  <c r="B362" i="17"/>
  <c r="D360" i="17"/>
  <c r="B357" i="17"/>
  <c r="B356" i="17"/>
  <c r="B355" i="17"/>
  <c r="D353" i="17"/>
  <c r="D348" i="17"/>
  <c r="B344" i="17"/>
  <c r="D343" i="17"/>
  <c r="D340" i="17"/>
  <c r="D339" i="17"/>
  <c r="D336" i="17"/>
  <c r="D335" i="17"/>
  <c r="D334" i="17"/>
  <c r="D333" i="17"/>
  <c r="D332" i="17"/>
  <c r="B326" i="17"/>
  <c r="D323" i="17"/>
  <c r="D322" i="17"/>
  <c r="D321" i="17"/>
  <c r="D319" i="17"/>
  <c r="D318" i="17"/>
  <c r="D317" i="17"/>
  <c r="B315" i="17"/>
  <c r="B314" i="17"/>
  <c r="B313" i="17"/>
  <c r="B312" i="17"/>
  <c r="B311" i="17"/>
  <c r="B310" i="17"/>
  <c r="B309" i="17"/>
  <c r="B308" i="17"/>
  <c r="D304" i="17"/>
  <c r="B300" i="17"/>
  <c r="B299" i="17"/>
  <c r="B298" i="17"/>
  <c r="B297" i="17"/>
  <c r="B296" i="17"/>
  <c r="B295" i="17"/>
  <c r="B294" i="17"/>
  <c r="B293" i="17"/>
  <c r="B292" i="17"/>
  <c r="B291" i="17"/>
  <c r="B290" i="17"/>
  <c r="B287" i="17"/>
  <c r="B286" i="17"/>
  <c r="B285" i="17"/>
  <c r="B284" i="17"/>
  <c r="B283" i="17"/>
  <c r="B282" i="17"/>
  <c r="B281" i="17"/>
  <c r="F280" i="17"/>
  <c r="D280" i="17"/>
  <c r="B278" i="17"/>
  <c r="D277" i="17"/>
  <c r="D276" i="17"/>
  <c r="B275" i="17"/>
  <c r="B274" i="17"/>
  <c r="B273" i="17"/>
  <c r="D270" i="17"/>
  <c r="D269" i="17"/>
  <c r="D268" i="17"/>
  <c r="B266" i="17"/>
  <c r="B265" i="17"/>
  <c r="B264" i="17"/>
  <c r="B263" i="17"/>
  <c r="B262" i="17"/>
  <c r="B261" i="17"/>
  <c r="B260" i="17"/>
  <c r="B259" i="17"/>
  <c r="B258" i="17"/>
  <c r="D257" i="17"/>
  <c r="D256" i="17"/>
  <c r="B254" i="17"/>
  <c r="D250" i="17"/>
  <c r="B246" i="17"/>
  <c r="B245" i="17"/>
  <c r="B244" i="17"/>
  <c r="B243" i="17"/>
  <c r="B242" i="17"/>
  <c r="B241" i="17"/>
  <c r="B240" i="17"/>
  <c r="B239" i="17"/>
  <c r="B238" i="17"/>
  <c r="B237" i="17"/>
  <c r="B236" i="17"/>
  <c r="B234" i="17"/>
  <c r="B232" i="17"/>
  <c r="F231" i="17"/>
  <c r="F230" i="17"/>
  <c r="D230" i="17"/>
  <c r="B227" i="17"/>
  <c r="B226" i="17"/>
  <c r="B225" i="17"/>
  <c r="B224" i="17"/>
  <c r="B223" i="17"/>
  <c r="B222" i="17"/>
  <c r="B221" i="17"/>
  <c r="B220" i="17"/>
  <c r="B219" i="17"/>
  <c r="B217" i="17"/>
  <c r="B216" i="17"/>
  <c r="B215" i="17"/>
  <c r="B214" i="17"/>
  <c r="B213" i="17"/>
  <c r="B212" i="17"/>
  <c r="B211" i="17"/>
  <c r="F209" i="17"/>
  <c r="F208" i="17"/>
  <c r="D208" i="17"/>
  <c r="F207" i="17"/>
  <c r="D207" i="17"/>
  <c r="F206" i="17"/>
  <c r="D206" i="17"/>
  <c r="B203" i="17"/>
  <c r="B202" i="17"/>
  <c r="B201" i="17"/>
  <c r="D197" i="17"/>
  <c r="D192" i="17"/>
  <c r="F191" i="17"/>
  <c r="D191" i="17"/>
  <c r="F190" i="17"/>
  <c r="D190" i="17"/>
  <c r="B187" i="17"/>
  <c r="B186" i="17"/>
  <c r="B184" i="17"/>
  <c r="B183" i="17"/>
  <c r="B182" i="17"/>
  <c r="B181" i="17"/>
  <c r="B180" i="17"/>
  <c r="F178" i="17"/>
  <c r="B176" i="17"/>
  <c r="D174" i="17"/>
  <c r="B172" i="17"/>
  <c r="D171" i="17"/>
  <c r="B169" i="17"/>
  <c r="B168" i="17"/>
  <c r="B165" i="17"/>
  <c r="D162" i="17"/>
  <c r="B158" i="17"/>
  <c r="B157" i="17"/>
  <c r="D156" i="17"/>
  <c r="D155" i="17"/>
  <c r="D154" i="17"/>
  <c r="D153" i="17"/>
  <c r="D152" i="17"/>
  <c r="D151" i="17"/>
  <c r="D150" i="17"/>
  <c r="D149" i="17"/>
  <c r="D148" i="17"/>
  <c r="D147" i="17"/>
  <c r="D146" i="17"/>
  <c r="D145" i="17"/>
  <c r="D144" i="17"/>
  <c r="D143" i="17"/>
  <c r="D142" i="17"/>
  <c r="D141" i="17"/>
  <c r="D140" i="17"/>
  <c r="D139" i="17"/>
  <c r="D138" i="17"/>
  <c r="D137" i="17"/>
  <c r="B135" i="17"/>
  <c r="B134" i="17"/>
  <c r="B133" i="17"/>
  <c r="B132" i="17"/>
  <c r="B131" i="17"/>
  <c r="D130" i="17"/>
  <c r="E129" i="17"/>
  <c r="D129" i="17"/>
  <c r="D125" i="17"/>
  <c r="D124" i="17"/>
  <c r="D123" i="17"/>
  <c r="B119" i="17"/>
  <c r="B118" i="17"/>
  <c r="C116" i="17"/>
  <c r="C115" i="17"/>
  <c r="D113" i="17"/>
  <c r="D112" i="17"/>
  <c r="D111" i="17"/>
  <c r="D110" i="17"/>
  <c r="D109" i="17"/>
  <c r="D108" i="17"/>
  <c r="D107" i="17"/>
  <c r="D106" i="17"/>
  <c r="D105" i="17"/>
  <c r="D104" i="17"/>
  <c r="B101" i="17"/>
  <c r="B100" i="17"/>
  <c r="B98" i="17"/>
  <c r="B97" i="17"/>
  <c r="B96" i="17"/>
  <c r="B95" i="17"/>
  <c r="B94" i="17"/>
  <c r="B93" i="17"/>
  <c r="B92" i="17"/>
  <c r="D91" i="17"/>
  <c r="B89" i="17"/>
  <c r="B87" i="17"/>
  <c r="B86" i="17"/>
  <c r="B85" i="17"/>
  <c r="B84" i="17"/>
  <c r="B82" i="17"/>
  <c r="B80" i="17"/>
  <c r="B79" i="17"/>
  <c r="B78" i="17"/>
  <c r="B76" i="17"/>
  <c r="B75" i="17"/>
  <c r="B74" i="17"/>
  <c r="B73" i="17"/>
  <c r="B72" i="17"/>
  <c r="B71" i="17"/>
  <c r="D70" i="17"/>
  <c r="B69" i="17"/>
  <c r="A67" i="17"/>
  <c r="D64" i="17"/>
  <c r="D63" i="17"/>
  <c r="B59" i="17"/>
  <c r="B58" i="17"/>
  <c r="B57" i="17"/>
  <c r="B56" i="17"/>
  <c r="B55" i="17"/>
  <c r="D54" i="17"/>
  <c r="D53" i="17"/>
  <c r="D52" i="17"/>
  <c r="B50" i="17"/>
  <c r="B49" i="17"/>
  <c r="B48" i="17"/>
  <c r="B47" i="17"/>
  <c r="B46" i="17"/>
  <c r="B45" i="17"/>
  <c r="B44" i="17"/>
  <c r="B43" i="17"/>
  <c r="B42" i="17"/>
  <c r="D41" i="17"/>
  <c r="D40" i="17"/>
  <c r="D39" i="17"/>
  <c r="D38" i="17"/>
  <c r="D36" i="17"/>
  <c r="B35" i="17"/>
  <c r="B34" i="17"/>
  <c r="B33" i="17"/>
  <c r="D32" i="17"/>
  <c r="B30" i="17"/>
  <c r="B29" i="17"/>
  <c r="B28" i="17"/>
  <c r="B27" i="17"/>
  <c r="B26" i="17"/>
  <c r="B25" i="17"/>
  <c r="B24" i="17"/>
  <c r="D21" i="17"/>
  <c r="D20" i="17"/>
  <c r="C15" i="17"/>
  <c r="B14" i="17"/>
  <c r="B12" i="17"/>
  <c r="B11" i="17"/>
  <c r="B10" i="17"/>
  <c r="B9" i="17"/>
  <c r="B7" i="17"/>
  <c r="B6" i="17"/>
  <c r="B5" i="17"/>
  <c r="B4" i="17"/>
  <c r="B3" i="17"/>
  <c r="G1" i="17"/>
  <c r="H92" i="18"/>
  <c r="E57" i="18"/>
  <c r="E24" i="18"/>
  <c r="A10" i="18"/>
  <c r="A5" i="18"/>
  <c r="A4" i="18"/>
  <c r="A2" i="18"/>
  <c r="K37" i="10"/>
  <c r="L37" i="10"/>
  <c r="J37" i="10"/>
  <c r="K36" i="10"/>
  <c r="J36" i="10"/>
  <c r="K35" i="10"/>
  <c r="L35" i="10"/>
  <c r="J35" i="10"/>
  <c r="K34" i="10"/>
  <c r="J34" i="10"/>
  <c r="K33" i="10"/>
  <c r="L33" i="10"/>
  <c r="J33" i="10"/>
  <c r="K32" i="10"/>
  <c r="L32" i="10"/>
  <c r="J32" i="10"/>
  <c r="K31" i="10"/>
  <c r="L31" i="10"/>
  <c r="J31" i="10"/>
  <c r="J29" i="10"/>
  <c r="J25" i="10"/>
  <c r="K24" i="10"/>
  <c r="L24" i="10"/>
  <c r="J24" i="10"/>
  <c r="K23" i="10"/>
  <c r="L23" i="10"/>
  <c r="J23" i="10"/>
  <c r="K22" i="10"/>
  <c r="L22" i="10"/>
  <c r="J22" i="10"/>
  <c r="K18" i="10"/>
  <c r="L18" i="10"/>
  <c r="K11" i="10"/>
  <c r="L11" i="10"/>
  <c r="J11" i="10"/>
  <c r="K10" i="10"/>
  <c r="L10" i="10"/>
  <c r="J10" i="10"/>
  <c r="K9" i="10"/>
  <c r="L9" i="10"/>
  <c r="J9" i="10"/>
  <c r="F2" i="10"/>
  <c r="J49" i="9"/>
  <c r="I28" i="9"/>
  <c r="H28" i="9"/>
  <c r="H25" i="9"/>
  <c r="I22" i="9"/>
  <c r="H22" i="9"/>
  <c r="J21" i="9"/>
  <c r="I14" i="9"/>
  <c r="J14" i="9"/>
  <c r="H14" i="9"/>
  <c r="I11" i="9"/>
  <c r="J11" i="9"/>
  <c r="H11" i="9"/>
  <c r="I10" i="9"/>
  <c r="J10" i="9"/>
  <c r="H10" i="9"/>
  <c r="I9" i="9"/>
  <c r="J9" i="9"/>
  <c r="H9" i="9"/>
  <c r="I8" i="9"/>
  <c r="J8" i="9"/>
  <c r="H8" i="9"/>
  <c r="I7" i="9"/>
  <c r="J7" i="9"/>
  <c r="H7" i="9"/>
  <c r="I6" i="9"/>
  <c r="J6" i="9"/>
  <c r="H6" i="9"/>
  <c r="I5" i="9"/>
  <c r="J5" i="9"/>
  <c r="H5" i="9"/>
  <c r="F2" i="9"/>
  <c r="K51" i="8"/>
  <c r="M51" i="8"/>
  <c r="J51" i="8"/>
  <c r="K50" i="8"/>
  <c r="M50" i="8"/>
  <c r="J50" i="8"/>
  <c r="J48" i="8"/>
  <c r="K47" i="8"/>
  <c r="M47" i="8"/>
  <c r="J47" i="8"/>
  <c r="K46" i="8"/>
  <c r="M46" i="8"/>
  <c r="J46" i="8"/>
  <c r="K45" i="8"/>
  <c r="M45" i="8"/>
  <c r="J45" i="8"/>
  <c r="K44" i="8"/>
  <c r="M44" i="8"/>
  <c r="J44" i="8"/>
  <c r="K43" i="8"/>
  <c r="M43" i="8"/>
  <c r="J43" i="8"/>
  <c r="K42" i="8"/>
  <c r="M42" i="8"/>
  <c r="J42" i="8"/>
  <c r="K39" i="8"/>
  <c r="M39" i="8"/>
  <c r="J39" i="8"/>
  <c r="K38" i="8"/>
  <c r="M38" i="8"/>
  <c r="J38" i="8"/>
  <c r="K37" i="8"/>
  <c r="M37" i="8"/>
  <c r="J37" i="8"/>
  <c r="K36" i="8"/>
  <c r="M36" i="8"/>
  <c r="J36" i="8"/>
  <c r="K35" i="8"/>
  <c r="M35" i="8"/>
  <c r="J35" i="8"/>
  <c r="J34" i="8"/>
  <c r="J33" i="8"/>
  <c r="J31" i="8"/>
  <c r="K30" i="8"/>
  <c r="M30" i="8"/>
  <c r="J30" i="8"/>
  <c r="K27" i="8"/>
  <c r="M27" i="8"/>
  <c r="J27" i="8"/>
  <c r="K26" i="8"/>
  <c r="M26" i="8"/>
  <c r="J26" i="8"/>
  <c r="K25" i="8"/>
  <c r="M25" i="8"/>
  <c r="J25" i="8"/>
  <c r="K17" i="8"/>
  <c r="M17" i="8"/>
  <c r="J17" i="8"/>
  <c r="K16" i="8"/>
  <c r="M16" i="8"/>
  <c r="J16" i="8"/>
  <c r="K15" i="8"/>
  <c r="M15" i="8"/>
  <c r="J15" i="8"/>
  <c r="K14" i="8"/>
  <c r="M14" i="8"/>
  <c r="J14" i="8"/>
  <c r="K13" i="8"/>
  <c r="M13" i="8"/>
  <c r="J13" i="8"/>
  <c r="K12" i="8"/>
  <c r="M12" i="8"/>
  <c r="J12" i="8"/>
  <c r="K11" i="8"/>
  <c r="M11" i="8"/>
  <c r="J11" i="8"/>
  <c r="K10" i="8"/>
  <c r="M10" i="8"/>
  <c r="J10" i="8"/>
  <c r="K9" i="8"/>
  <c r="M9" i="8"/>
  <c r="J9" i="8"/>
  <c r="K6" i="8"/>
  <c r="M6" i="8"/>
  <c r="K5" i="8"/>
  <c r="M5" i="8"/>
  <c r="J5" i="8"/>
  <c r="H2" i="8"/>
  <c r="K57" i="7"/>
  <c r="T57" i="7"/>
  <c r="J57" i="7"/>
  <c r="K54" i="7"/>
  <c r="T54" i="7"/>
  <c r="J54" i="7"/>
  <c r="K53" i="7"/>
  <c r="T53" i="7"/>
  <c r="J53" i="7"/>
  <c r="K52" i="7"/>
  <c r="T52" i="7"/>
  <c r="J52" i="7"/>
  <c r="K51" i="7"/>
  <c r="T51" i="7"/>
  <c r="J51" i="7"/>
  <c r="K50" i="7"/>
  <c r="T50" i="7"/>
  <c r="J50" i="7"/>
  <c r="K49" i="7"/>
  <c r="T49" i="7"/>
  <c r="J49" i="7"/>
  <c r="J48" i="7"/>
  <c r="K47" i="7"/>
  <c r="T47" i="7"/>
  <c r="J47" i="7"/>
  <c r="K44" i="7"/>
  <c r="T44" i="7"/>
  <c r="J44" i="7"/>
  <c r="K41" i="7"/>
  <c r="T41" i="7"/>
  <c r="J41" i="7"/>
  <c r="T35" i="7"/>
  <c r="K33" i="7"/>
  <c r="T33" i="7"/>
  <c r="J33" i="7"/>
  <c r="K32" i="7"/>
  <c r="T32" i="7"/>
  <c r="J32" i="7"/>
  <c r="K31" i="7"/>
  <c r="T31" i="7"/>
  <c r="J31" i="7"/>
  <c r="K29" i="7"/>
  <c r="T29" i="7"/>
  <c r="K28" i="7"/>
  <c r="T28" i="7"/>
  <c r="J28" i="7"/>
  <c r="H28" i="7"/>
  <c r="K24" i="7"/>
  <c r="K23" i="7"/>
  <c r="K22" i="7"/>
  <c r="K21" i="7"/>
  <c r="T21" i="7"/>
  <c r="J21" i="7"/>
  <c r="K20" i="7"/>
  <c r="T20" i="7"/>
  <c r="J20" i="7"/>
  <c r="K19" i="7"/>
  <c r="T19" i="7"/>
  <c r="J19" i="7"/>
  <c r="K18" i="7"/>
  <c r="T18" i="7"/>
  <c r="J18" i="7"/>
  <c r="K17" i="7"/>
  <c r="T17" i="7"/>
  <c r="J17" i="7"/>
  <c r="K16" i="7"/>
  <c r="T16" i="7"/>
  <c r="J16" i="7"/>
  <c r="K7" i="7"/>
  <c r="T7" i="7"/>
  <c r="J7" i="7"/>
  <c r="K6" i="7"/>
  <c r="T6" i="7"/>
  <c r="J6" i="7"/>
  <c r="K5" i="7"/>
  <c r="J5" i="7"/>
  <c r="K29" i="6"/>
  <c r="AC29" i="6"/>
  <c r="J29" i="6"/>
  <c r="K28" i="6"/>
  <c r="AC28" i="6"/>
  <c r="J28" i="6"/>
  <c r="K25" i="6"/>
  <c r="AC25" i="6"/>
  <c r="J25" i="6"/>
  <c r="K24" i="6"/>
  <c r="AC24" i="6"/>
  <c r="J24" i="6"/>
  <c r="K23" i="6"/>
  <c r="AC23" i="6"/>
  <c r="J23" i="6"/>
  <c r="K22" i="6"/>
  <c r="AC22" i="6"/>
  <c r="J22" i="6"/>
  <c r="K21" i="6"/>
  <c r="AC21" i="6"/>
  <c r="J21" i="6"/>
  <c r="K17" i="6"/>
  <c r="AC17" i="6"/>
  <c r="K16" i="6"/>
  <c r="AC16" i="6"/>
  <c r="J16" i="6"/>
  <c r="K11" i="6"/>
  <c r="AC11" i="6"/>
  <c r="J11" i="6"/>
  <c r="J8" i="6"/>
  <c r="K7" i="6"/>
  <c r="AC7" i="6"/>
  <c r="J7" i="6"/>
  <c r="H2" i="6"/>
  <c r="I52" i="5"/>
  <c r="K5" i="5"/>
  <c r="AB5" i="5"/>
  <c r="K40" i="5"/>
  <c r="AB40" i="5"/>
  <c r="J40" i="5"/>
  <c r="I13" i="5"/>
  <c r="K7" i="5"/>
  <c r="AB7" i="5"/>
  <c r="J7" i="5"/>
  <c r="G2" i="5"/>
  <c r="H61" i="4"/>
  <c r="I60" i="4"/>
  <c r="Z60" i="4"/>
  <c r="H60" i="4"/>
  <c r="H57" i="4"/>
  <c r="H56" i="4"/>
  <c r="H55" i="4"/>
  <c r="H40" i="4"/>
  <c r="I39" i="4"/>
  <c r="H39" i="4"/>
  <c r="I36" i="4"/>
  <c r="Z36" i="4"/>
  <c r="H36" i="4"/>
  <c r="I35" i="4"/>
  <c r="Z35" i="4"/>
  <c r="H35" i="4"/>
  <c r="I34" i="4"/>
  <c r="Z34" i="4"/>
  <c r="H34" i="4"/>
  <c r="I33" i="4"/>
  <c r="Z33" i="4"/>
  <c r="H33" i="4"/>
  <c r="I32" i="4"/>
  <c r="Z32" i="4"/>
  <c r="H32" i="4"/>
  <c r="I31" i="4"/>
  <c r="Z31" i="4"/>
  <c r="H31" i="4"/>
  <c r="I30" i="4"/>
  <c r="Z30" i="4"/>
  <c r="H30" i="4"/>
  <c r="I27" i="4"/>
  <c r="Z27" i="4"/>
  <c r="H27" i="4"/>
  <c r="I24" i="4"/>
  <c r="Z24" i="4"/>
  <c r="H24" i="4"/>
  <c r="I23" i="4"/>
  <c r="Z23" i="4"/>
  <c r="H23" i="4"/>
  <c r="I22" i="4"/>
  <c r="Z22" i="4"/>
  <c r="H22" i="4"/>
  <c r="I21" i="4"/>
  <c r="Z21" i="4"/>
  <c r="H21" i="4"/>
  <c r="I18" i="4"/>
  <c r="Z18" i="4"/>
  <c r="H18" i="4"/>
  <c r="I15" i="4"/>
  <c r="Z15" i="4"/>
  <c r="H15" i="4"/>
  <c r="I12" i="4"/>
  <c r="Z12" i="4"/>
  <c r="H12" i="4"/>
  <c r="I10" i="4"/>
  <c r="Z10" i="4"/>
  <c r="H10" i="4"/>
  <c r="H9" i="4"/>
  <c r="I8" i="4"/>
  <c r="Z8" i="4"/>
  <c r="H8" i="4"/>
  <c r="H7" i="4"/>
  <c r="I6" i="4"/>
  <c r="Z6" i="4"/>
  <c r="H6" i="4"/>
  <c r="F2" i="4"/>
  <c r="E70" i="3"/>
  <c r="J45" i="3"/>
  <c r="K44" i="3"/>
  <c r="AA44" i="3"/>
  <c r="J44" i="3"/>
  <c r="K43" i="3"/>
  <c r="AA43" i="3"/>
  <c r="J43" i="3"/>
  <c r="K38" i="3"/>
  <c r="AA38" i="3"/>
  <c r="J38" i="3"/>
  <c r="K37" i="3"/>
  <c r="AA37" i="3"/>
  <c r="J37" i="3"/>
  <c r="K36" i="3"/>
  <c r="AA36" i="3"/>
  <c r="J36" i="3"/>
  <c r="K35" i="3"/>
  <c r="AA35" i="3"/>
  <c r="J35" i="3"/>
  <c r="K34" i="3"/>
  <c r="AA34" i="3"/>
  <c r="J34" i="3"/>
  <c r="K33" i="3"/>
  <c r="AA33" i="3"/>
  <c r="J33" i="3"/>
  <c r="K32" i="3"/>
  <c r="AA32" i="3"/>
  <c r="J32" i="3"/>
  <c r="K31" i="3"/>
  <c r="AA31" i="3"/>
  <c r="J31" i="3"/>
  <c r="K24" i="3"/>
  <c r="AA24" i="3"/>
  <c r="J24" i="3"/>
  <c r="K23" i="3"/>
  <c r="AA23" i="3"/>
  <c r="J23" i="3"/>
  <c r="K22" i="3"/>
  <c r="AA22" i="3"/>
  <c r="J22" i="3"/>
  <c r="K19" i="3"/>
  <c r="AA19" i="3"/>
  <c r="J19" i="3"/>
  <c r="K18" i="3"/>
  <c r="AA18" i="3"/>
  <c r="J18" i="3"/>
  <c r="K17" i="3"/>
  <c r="AA17" i="3"/>
  <c r="J17" i="3"/>
  <c r="K16" i="3"/>
  <c r="AA16" i="3"/>
  <c r="J16" i="3"/>
  <c r="K15" i="3"/>
  <c r="AA15" i="3"/>
  <c r="J15" i="3"/>
  <c r="J14" i="3"/>
  <c r="K13" i="3"/>
  <c r="AA13" i="3"/>
  <c r="J13" i="3"/>
  <c r="J12" i="3"/>
  <c r="F2" i="3"/>
  <c r="H20" i="2"/>
  <c r="V23" i="2"/>
  <c r="H16" i="2"/>
  <c r="V19" i="2"/>
  <c r="G19" i="2"/>
  <c r="H15" i="2"/>
  <c r="V18" i="2"/>
  <c r="H14" i="2"/>
  <c r="V17" i="2"/>
  <c r="H13" i="2"/>
  <c r="V16" i="2"/>
  <c r="G16" i="2"/>
  <c r="G15" i="2"/>
  <c r="G14" i="2"/>
  <c r="G13" i="2"/>
  <c r="H9" i="2"/>
  <c r="V12" i="2"/>
  <c r="H8" i="2"/>
  <c r="V11" i="2"/>
  <c r="H6" i="2"/>
  <c r="V9" i="2"/>
  <c r="G9" i="2"/>
  <c r="G8" i="2"/>
  <c r="H7" i="2"/>
  <c r="G7" i="2"/>
  <c r="G6" i="2"/>
  <c r="E2" i="2"/>
  <c r="G410" i="14"/>
  <c r="G409" i="14"/>
  <c r="G394" i="14"/>
  <c r="D392" i="14"/>
  <c r="D388" i="14"/>
  <c r="B386" i="14"/>
  <c r="B385" i="14"/>
  <c r="B384" i="14"/>
  <c r="B383" i="14"/>
  <c r="B382" i="14"/>
  <c r="B381" i="14"/>
  <c r="B380" i="14"/>
  <c r="D379" i="14"/>
  <c r="B378" i="14"/>
  <c r="B376" i="14"/>
  <c r="B375" i="14"/>
  <c r="B374" i="14"/>
  <c r="B373" i="14"/>
  <c r="B372" i="14"/>
  <c r="D370" i="14"/>
  <c r="B369" i="14"/>
  <c r="B363" i="14"/>
  <c r="B362" i="14"/>
  <c r="B361" i="14"/>
  <c r="G356" i="14"/>
  <c r="G355" i="14"/>
  <c r="D354" i="14"/>
  <c r="D347" i="14"/>
  <c r="B347" i="14"/>
  <c r="B345" i="14"/>
  <c r="D344" i="14"/>
  <c r="D341" i="14"/>
  <c r="D340" i="14"/>
  <c r="D337" i="14"/>
  <c r="D336" i="14"/>
  <c r="D335" i="14"/>
  <c r="D334" i="14"/>
  <c r="D333" i="14"/>
  <c r="B327" i="14"/>
  <c r="D324" i="14"/>
  <c r="D323" i="14"/>
  <c r="D322" i="14"/>
  <c r="D320" i="14"/>
  <c r="D319" i="14"/>
  <c r="D318" i="14"/>
  <c r="B318" i="14"/>
  <c r="B316" i="14"/>
  <c r="B315" i="14"/>
  <c r="B314" i="14"/>
  <c r="B313" i="14"/>
  <c r="B312" i="14"/>
  <c r="B311" i="14"/>
  <c r="B310" i="14"/>
  <c r="B309" i="14"/>
  <c r="B308" i="14"/>
  <c r="B307" i="14"/>
  <c r="G305" i="14"/>
  <c r="G304" i="14"/>
  <c r="D303" i="14"/>
  <c r="B299" i="14"/>
  <c r="B298" i="14"/>
  <c r="B297" i="14"/>
  <c r="B296" i="14"/>
  <c r="B295" i="14"/>
  <c r="B294" i="14"/>
  <c r="B293" i="14"/>
  <c r="B292" i="14"/>
  <c r="B291" i="14"/>
  <c r="B290" i="14"/>
  <c r="B289" i="14"/>
  <c r="B286" i="14"/>
  <c r="B285" i="14"/>
  <c r="B284" i="14"/>
  <c r="B283" i="14"/>
  <c r="B282" i="14"/>
  <c r="B281" i="14"/>
  <c r="B280" i="14"/>
  <c r="F279" i="14"/>
  <c r="D279" i="14"/>
  <c r="B278" i="14"/>
  <c r="B277" i="14"/>
  <c r="D276" i="14"/>
  <c r="D275" i="14"/>
  <c r="B274" i="14"/>
  <c r="B273" i="14"/>
  <c r="B272" i="14"/>
  <c r="D268" i="14"/>
  <c r="D267" i="14"/>
  <c r="D266" i="14"/>
  <c r="B264" i="14"/>
  <c r="B263" i="14"/>
  <c r="B262" i="14"/>
  <c r="B261" i="14"/>
  <c r="B260" i="14"/>
  <c r="B259" i="14"/>
  <c r="B258" i="14"/>
  <c r="B257" i="14"/>
  <c r="B256" i="14"/>
  <c r="D255" i="14"/>
  <c r="D254" i="14"/>
  <c r="B252" i="14"/>
  <c r="G250" i="14"/>
  <c r="G249" i="14"/>
  <c r="D248" i="14"/>
  <c r="B244" i="14"/>
  <c r="B243" i="14"/>
  <c r="B242" i="14"/>
  <c r="B241" i="14"/>
  <c r="B240" i="14"/>
  <c r="B239" i="14"/>
  <c r="B238" i="14"/>
  <c r="B237" i="14"/>
  <c r="B236" i="14"/>
  <c r="B235" i="14"/>
  <c r="B234" i="14"/>
  <c r="B232" i="14"/>
  <c r="B230" i="14"/>
  <c r="F229" i="14"/>
  <c r="F228" i="14"/>
  <c r="D228" i="14"/>
  <c r="B223" i="14"/>
  <c r="B222" i="14"/>
  <c r="B221" i="14"/>
  <c r="B220" i="14"/>
  <c r="B219" i="14"/>
  <c r="B218" i="14"/>
  <c r="B215" i="14"/>
  <c r="B214" i="14"/>
  <c r="B213" i="14"/>
  <c r="B212" i="14"/>
  <c r="B211" i="14"/>
  <c r="B210" i="14"/>
  <c r="B209" i="14"/>
  <c r="B208" i="14"/>
  <c r="B207" i="14"/>
  <c r="F205" i="14"/>
  <c r="F204" i="14"/>
  <c r="D204" i="14"/>
  <c r="F203" i="14"/>
  <c r="D203" i="14"/>
  <c r="F202" i="14"/>
  <c r="D202" i="14"/>
  <c r="B200" i="14"/>
  <c r="B199" i="14"/>
  <c r="B198" i="14"/>
  <c r="B197" i="14"/>
  <c r="G195" i="14"/>
  <c r="G194" i="14"/>
  <c r="D193" i="14"/>
  <c r="F188" i="14"/>
  <c r="D188" i="14"/>
  <c r="F187" i="14"/>
  <c r="D187" i="14"/>
  <c r="F186" i="14"/>
  <c r="D186" i="14"/>
  <c r="B183" i="14"/>
  <c r="B182" i="14"/>
  <c r="B180" i="14"/>
  <c r="B179" i="14"/>
  <c r="B178" i="14"/>
  <c r="B177" i="14"/>
  <c r="D176" i="14"/>
  <c r="B176" i="14"/>
  <c r="F174" i="14"/>
  <c r="B173" i="14"/>
  <c r="B172" i="14"/>
  <c r="D170" i="14"/>
  <c r="B168" i="14"/>
  <c r="D167" i="14"/>
  <c r="B165" i="14"/>
  <c r="B164" i="14"/>
  <c r="B161" i="14"/>
  <c r="G160" i="14"/>
  <c r="G159" i="14"/>
  <c r="D158" i="14"/>
  <c r="B154" i="14"/>
  <c r="D146" i="14"/>
  <c r="D145" i="14"/>
  <c r="D144" i="14"/>
  <c r="D143" i="14"/>
  <c r="D142" i="14"/>
  <c r="D141" i="14"/>
  <c r="D140" i="14"/>
  <c r="D139" i="14"/>
  <c r="D138" i="14"/>
  <c r="D137" i="14"/>
  <c r="D136" i="14"/>
  <c r="D135" i="14"/>
  <c r="D134" i="14"/>
  <c r="D133" i="14"/>
  <c r="D132" i="14"/>
  <c r="B130" i="14"/>
  <c r="B129" i="14"/>
  <c r="B128" i="14"/>
  <c r="B127" i="14"/>
  <c r="B126" i="14"/>
  <c r="G123" i="14"/>
  <c r="G122" i="14"/>
  <c r="D121" i="14"/>
  <c r="D120" i="14"/>
  <c r="D119" i="14"/>
  <c r="B115" i="14"/>
  <c r="B114" i="14"/>
  <c r="B112" i="14"/>
  <c r="B111" i="14"/>
  <c r="B110" i="14"/>
  <c r="B105" i="14"/>
  <c r="B104" i="14"/>
  <c r="B102" i="14"/>
  <c r="B101" i="14"/>
  <c r="B100" i="14"/>
  <c r="B99" i="14"/>
  <c r="B98" i="14"/>
  <c r="B97" i="14"/>
  <c r="B96" i="14"/>
  <c r="D95" i="14"/>
  <c r="B94" i="14"/>
  <c r="B93" i="14"/>
  <c r="B91" i="14"/>
  <c r="B90" i="14"/>
  <c r="B89" i="14"/>
  <c r="B88" i="14"/>
  <c r="B86" i="14"/>
  <c r="B84" i="14"/>
  <c r="B82" i="14"/>
  <c r="B80" i="14"/>
  <c r="B79" i="14"/>
  <c r="B78" i="14"/>
  <c r="B77" i="14"/>
  <c r="B76" i="14"/>
  <c r="A74" i="14"/>
  <c r="G73" i="14"/>
  <c r="G72" i="14"/>
  <c r="D71" i="14"/>
  <c r="D70" i="14"/>
  <c r="B65" i="14"/>
  <c r="B64" i="14"/>
  <c r="B63" i="14"/>
  <c r="B62" i="14"/>
  <c r="B61" i="14"/>
  <c r="D60" i="14"/>
  <c r="D59" i="14"/>
  <c r="D58" i="14"/>
  <c r="B56" i="14"/>
  <c r="B55" i="14"/>
  <c r="B54" i="14"/>
  <c r="B53" i="14"/>
  <c r="B52" i="14"/>
  <c r="B51" i="14"/>
  <c r="B50" i="14"/>
  <c r="B49" i="14"/>
  <c r="D48" i="14"/>
  <c r="D47" i="14"/>
  <c r="D46" i="14"/>
  <c r="D45" i="14"/>
  <c r="D43" i="14"/>
  <c r="B42" i="14"/>
  <c r="B41" i="14"/>
  <c r="B40" i="14"/>
  <c r="D39" i="14"/>
  <c r="B38" i="14"/>
  <c r="B37" i="14"/>
  <c r="B36" i="14"/>
  <c r="B35" i="14"/>
  <c r="B33" i="14"/>
  <c r="B32" i="14"/>
  <c r="D25" i="14"/>
  <c r="G22" i="14"/>
  <c r="G21" i="14"/>
  <c r="C20" i="14"/>
  <c r="B19" i="14"/>
  <c r="B17" i="14"/>
  <c r="B16" i="14"/>
  <c r="B15" i="14"/>
  <c r="B14" i="14"/>
  <c r="B12" i="14"/>
  <c r="B11" i="14"/>
  <c r="B10" i="14"/>
  <c r="B9" i="14"/>
  <c r="B8" i="14"/>
  <c r="G7" i="14"/>
  <c r="G6" i="14"/>
  <c r="E25" i="13"/>
  <c r="A5" i="13"/>
  <c r="A4" i="13"/>
  <c r="A2" i="13"/>
  <c r="R42" i="12"/>
  <c r="G433" i="11"/>
  <c r="C433" i="11"/>
  <c r="G432" i="11"/>
  <c r="C432" i="11"/>
  <c r="G431" i="11"/>
  <c r="C431" i="11"/>
  <c r="G430" i="11"/>
  <c r="C430" i="11"/>
  <c r="C429" i="11"/>
  <c r="C428" i="11"/>
  <c r="C427" i="11"/>
  <c r="C424" i="11"/>
  <c r="G423" i="11"/>
  <c r="C423" i="11"/>
  <c r="G422" i="11"/>
  <c r="C422" i="11"/>
  <c r="G421" i="11"/>
  <c r="C421" i="11"/>
  <c r="G420" i="11"/>
  <c r="C420" i="11"/>
  <c r="G419" i="11"/>
  <c r="C419" i="11"/>
  <c r="G418" i="11"/>
  <c r="C418" i="11"/>
  <c r="E368" i="11"/>
  <c r="B361" i="11"/>
  <c r="B360" i="11"/>
  <c r="B359" i="11"/>
  <c r="B358" i="11"/>
  <c r="B357" i="11"/>
  <c r="B356" i="11"/>
  <c r="B355" i="11"/>
  <c r="B354" i="11"/>
  <c r="B351" i="11"/>
  <c r="B350" i="11"/>
  <c r="B349" i="11"/>
  <c r="B347" i="11"/>
  <c r="B345" i="11"/>
  <c r="B344" i="11"/>
  <c r="B343" i="11"/>
  <c r="E335" i="11"/>
  <c r="D329" i="11"/>
  <c r="D327" i="11"/>
  <c r="D326" i="11"/>
  <c r="D323" i="11"/>
  <c r="D322" i="11"/>
  <c r="D320" i="11"/>
  <c r="D319" i="11"/>
  <c r="D318" i="11"/>
  <c r="D317" i="11"/>
  <c r="D316" i="11"/>
  <c r="D315" i="11"/>
  <c r="D314" i="11"/>
  <c r="D311" i="11"/>
  <c r="D310" i="11"/>
  <c r="D309" i="11"/>
  <c r="B309" i="11"/>
  <c r="D306" i="11"/>
  <c r="D305" i="11"/>
  <c r="D303" i="11"/>
  <c r="D302" i="11"/>
  <c r="B302" i="11"/>
  <c r="B300" i="11"/>
  <c r="B299" i="11"/>
  <c r="B298" i="11"/>
  <c r="B297" i="11"/>
  <c r="B296" i="11"/>
  <c r="B295" i="11"/>
  <c r="B294" i="11"/>
  <c r="B293" i="11"/>
  <c r="B292" i="11"/>
  <c r="E286" i="11"/>
  <c r="B281" i="11"/>
  <c r="B280" i="11"/>
  <c r="B279" i="11"/>
  <c r="B278" i="11"/>
  <c r="B277" i="11"/>
  <c r="B276" i="11"/>
  <c r="B275" i="11"/>
  <c r="B274" i="11"/>
  <c r="B273" i="11"/>
  <c r="B272" i="11"/>
  <c r="B271" i="11"/>
  <c r="B270" i="11"/>
  <c r="B268" i="11"/>
  <c r="B267" i="11"/>
  <c r="B266" i="11"/>
  <c r="B265" i="11"/>
  <c r="B264" i="11"/>
  <c r="B263" i="11"/>
  <c r="B262" i="11"/>
  <c r="B261" i="11"/>
  <c r="B260" i="11"/>
  <c r="B257" i="11"/>
  <c r="B256" i="11"/>
  <c r="B255" i="11"/>
  <c r="B254" i="11"/>
  <c r="B253" i="11"/>
  <c r="B252" i="11"/>
  <c r="B251" i="11"/>
  <c r="B250" i="11"/>
  <c r="B249" i="11"/>
  <c r="B248" i="11"/>
  <c r="B247" i="11"/>
  <c r="B246" i="11"/>
  <c r="B245" i="11"/>
  <c r="B244" i="11"/>
  <c r="B243" i="11"/>
  <c r="E237" i="11"/>
  <c r="B234" i="11"/>
  <c r="B233" i="11"/>
  <c r="B232" i="11"/>
  <c r="B231" i="11"/>
  <c r="B230" i="11"/>
  <c r="B229" i="11"/>
  <c r="B228" i="11"/>
  <c r="B227" i="11"/>
  <c r="B226" i="11"/>
  <c r="B225" i="11"/>
  <c r="B224" i="11"/>
  <c r="B223" i="11"/>
  <c r="B222" i="11"/>
  <c r="B220" i="11"/>
  <c r="B219" i="11"/>
  <c r="B217" i="11"/>
  <c r="B216" i="11"/>
  <c r="B215" i="11"/>
  <c r="B212" i="11"/>
  <c r="B211" i="11"/>
  <c r="B210" i="11"/>
  <c r="B209" i="11"/>
  <c r="B208" i="11"/>
  <c r="B207" i="11"/>
  <c r="B206" i="11"/>
  <c r="B205" i="11"/>
  <c r="B204" i="11"/>
  <c r="B202" i="11"/>
  <c r="B201" i="11"/>
  <c r="B200" i="11"/>
  <c r="B199" i="11"/>
  <c r="B198" i="11"/>
  <c r="B197" i="11"/>
  <c r="B196" i="11"/>
  <c r="B194" i="11"/>
  <c r="B193" i="11"/>
  <c r="B191" i="11"/>
  <c r="B190" i="11"/>
  <c r="B189" i="11"/>
  <c r="B188" i="11"/>
  <c r="E182" i="11"/>
  <c r="B176" i="11"/>
  <c r="B175" i="11"/>
  <c r="B173" i="11"/>
  <c r="B172" i="11"/>
  <c r="B171" i="11"/>
  <c r="B170" i="11"/>
  <c r="B169" i="11"/>
  <c r="B167" i="11"/>
  <c r="B166" i="11"/>
  <c r="B163" i="11"/>
  <c r="B162" i="11"/>
  <c r="B161" i="11"/>
  <c r="E154" i="11"/>
  <c r="B149" i="11"/>
  <c r="B148" i="11"/>
  <c r="B146" i="11"/>
  <c r="B145" i="11"/>
  <c r="B144" i="11"/>
  <c r="B143" i="11"/>
  <c r="B142" i="11"/>
  <c r="E136" i="11"/>
  <c r="E135" i="11"/>
  <c r="E134" i="11"/>
  <c r="D129" i="11"/>
  <c r="D128" i="11"/>
  <c r="D127" i="11"/>
  <c r="D126" i="11"/>
  <c r="D125" i="11"/>
  <c r="D124" i="11"/>
  <c r="D123" i="11"/>
  <c r="D122" i="11"/>
  <c r="D121" i="11"/>
  <c r="B119" i="11"/>
  <c r="B118" i="11"/>
  <c r="B117" i="11"/>
  <c r="B116" i="11"/>
  <c r="B115" i="11"/>
  <c r="B114" i="11"/>
  <c r="B113" i="11"/>
  <c r="B112" i="11"/>
  <c r="B111" i="11"/>
  <c r="B110" i="11"/>
  <c r="B108" i="11"/>
  <c r="B106" i="11"/>
  <c r="B105" i="11"/>
  <c r="B104" i="11"/>
  <c r="B103" i="11"/>
  <c r="B101" i="11"/>
  <c r="B100" i="11"/>
  <c r="B98" i="11"/>
  <c r="B97" i="11"/>
  <c r="B96" i="11"/>
  <c r="B94" i="11"/>
  <c r="B93" i="11"/>
  <c r="B92" i="11"/>
  <c r="B91" i="11"/>
  <c r="B90" i="11"/>
  <c r="B89" i="11"/>
  <c r="B87" i="11"/>
  <c r="E82" i="11"/>
  <c r="E81" i="11"/>
  <c r="B76" i="11"/>
  <c r="B75" i="11"/>
  <c r="B74" i="11"/>
  <c r="B73" i="11"/>
  <c r="B71" i="11"/>
  <c r="B70" i="11"/>
  <c r="B69" i="11"/>
  <c r="B68" i="11"/>
  <c r="B67" i="11"/>
  <c r="B66" i="11"/>
  <c r="B65" i="11"/>
  <c r="B64" i="11"/>
  <c r="B63" i="11"/>
  <c r="B62" i="11"/>
  <c r="B61" i="11"/>
  <c r="B60" i="11"/>
  <c r="B59" i="11"/>
  <c r="B58" i="11"/>
  <c r="B57" i="11"/>
  <c r="B55" i="11"/>
  <c r="B54" i="11"/>
  <c r="B53" i="11"/>
  <c r="B52" i="11"/>
  <c r="B51" i="11"/>
  <c r="B50" i="11"/>
  <c r="B49" i="11"/>
  <c r="C21" i="11"/>
  <c r="C18" i="11"/>
  <c r="C17" i="11"/>
  <c r="C16" i="11"/>
  <c r="C15" i="11"/>
  <c r="C12" i="11"/>
  <c r="C11" i="11"/>
  <c r="C10" i="11"/>
  <c r="C9" i="11"/>
  <c r="C8" i="11"/>
  <c r="B6" i="11"/>
  <c r="B5" i="11"/>
  <c r="B4" i="11"/>
  <c r="B3" i="11"/>
  <c r="B2" i="11"/>
  <c r="A6" i="16"/>
  <c r="A5" i="16"/>
  <c r="B57" i="14"/>
  <c r="K39" i="3"/>
  <c r="AA39" i="3"/>
  <c r="K12" i="6"/>
  <c r="AC12" i="6"/>
  <c r="B72" i="11"/>
  <c r="B165" i="23"/>
  <c r="K8" i="6"/>
  <c r="AC8" i="6"/>
  <c r="D189" i="14"/>
  <c r="D188" i="23"/>
  <c r="B252" i="23"/>
  <c r="J6" i="8"/>
  <c r="B317" i="17"/>
  <c r="H17" i="9"/>
  <c r="H28" i="4"/>
  <c r="B37" i="17"/>
  <c r="B44" i="14"/>
  <c r="K26" i="3"/>
  <c r="AA26" i="3"/>
  <c r="D359" i="14"/>
  <c r="D350" i="23"/>
  <c r="K5" i="10"/>
  <c r="L5" i="10"/>
  <c r="B352" i="17"/>
  <c r="J5" i="10"/>
  <c r="D189" i="23"/>
  <c r="D193" i="17"/>
  <c r="B359" i="17"/>
  <c r="B200" i="23"/>
  <c r="B356" i="23"/>
  <c r="J17" i="6"/>
  <c r="B90" i="17"/>
  <c r="B267" i="17"/>
  <c r="B178" i="11"/>
  <c r="K30" i="6"/>
  <c r="AC30" i="6"/>
  <c r="B188" i="17"/>
  <c r="B279" i="17"/>
  <c r="B255" i="17"/>
  <c r="B141" i="11"/>
  <c r="J5" i="5"/>
  <c r="B124" i="14"/>
  <c r="J38" i="5"/>
  <c r="B41" i="5"/>
  <c r="B159" i="17"/>
  <c r="B128" i="17"/>
  <c r="B124" i="23"/>
  <c r="I17" i="9"/>
  <c r="J17" i="9"/>
  <c r="K12" i="3"/>
  <c r="AA12" i="3"/>
  <c r="B23" i="17"/>
  <c r="H31" i="9"/>
  <c r="H42" i="4"/>
  <c r="B103" i="17"/>
  <c r="I42" i="4"/>
  <c r="Z42" i="4"/>
  <c r="B19" i="17"/>
  <c r="J5" i="3"/>
  <c r="B47" i="11"/>
  <c r="B265" i="14"/>
  <c r="K18" i="8"/>
  <c r="M18" i="8"/>
  <c r="J18" i="8"/>
  <c r="B264" i="23"/>
  <c r="B214" i="11"/>
  <c r="J38" i="7"/>
  <c r="B227" i="14"/>
  <c r="B226" i="23"/>
  <c r="B194" i="17"/>
  <c r="B190" i="23"/>
  <c r="B190" i="14"/>
  <c r="B229" i="17"/>
  <c r="B31" i="17"/>
  <c r="B31" i="23"/>
  <c r="J20" i="3"/>
  <c r="B56" i="11"/>
  <c r="K20" i="3"/>
  <c r="AA20" i="3"/>
  <c r="J39" i="3"/>
  <c r="B51" i="23"/>
  <c r="B51" i="17"/>
  <c r="B107" i="23"/>
  <c r="B109" i="14"/>
  <c r="B114" i="17"/>
  <c r="I28" i="4"/>
  <c r="Z28" i="4"/>
  <c r="B109" i="11"/>
  <c r="B88" i="23"/>
  <c r="J30" i="6"/>
  <c r="B184" i="14"/>
  <c r="B184" i="23"/>
  <c r="B19" i="23"/>
  <c r="K5" i="3"/>
  <c r="AA5" i="3"/>
  <c r="B24" i="14"/>
  <c r="B164" i="11"/>
  <c r="J12" i="6"/>
  <c r="B169" i="14"/>
  <c r="B204" i="17"/>
  <c r="K8" i="7"/>
  <c r="T8" i="7"/>
  <c r="B107" i="14"/>
  <c r="B120" i="11"/>
  <c r="B101" i="23"/>
  <c r="B358" i="14"/>
  <c r="B349" i="23"/>
  <c r="B341" i="11"/>
  <c r="B177" i="11"/>
  <c r="B321" i="17"/>
  <c r="B322" i="14"/>
  <c r="B318" i="23"/>
  <c r="B365" i="23"/>
  <c r="K29" i="10"/>
  <c r="L29" i="10"/>
  <c r="B132" i="23"/>
  <c r="B147" i="11"/>
  <c r="B131" i="14"/>
  <c r="B155" i="14"/>
  <c r="B150" i="11"/>
  <c r="B43" i="5"/>
  <c r="B155" i="23"/>
  <c r="B345" i="17"/>
  <c r="I31" i="9"/>
  <c r="J30" i="9"/>
  <c r="B313" i="11"/>
  <c r="B332" i="14"/>
  <c r="B328" i="23"/>
  <c r="B331" i="17"/>
  <c r="B247" i="17"/>
  <c r="B244" i="23"/>
  <c r="B245" i="14"/>
  <c r="B235" i="11"/>
  <c r="B116" i="23"/>
  <c r="B116" i="14"/>
  <c r="B130" i="11"/>
  <c r="B120" i="17"/>
  <c r="B298" i="23"/>
  <c r="B301" i="17"/>
  <c r="B282" i="11"/>
  <c r="B300" i="14"/>
  <c r="B377" i="17"/>
  <c r="B389" i="14"/>
  <c r="B374" i="23"/>
  <c r="B364" i="11"/>
  <c r="B192" i="23"/>
  <c r="E384" i="23"/>
  <c r="D65" i="18"/>
  <c r="I87" i="18"/>
  <c r="D65" i="24"/>
  <c r="I87" i="24"/>
  <c r="B196" i="17"/>
  <c r="E387" i="17"/>
  <c r="D66" i="13"/>
  <c r="I86" i="13"/>
  <c r="B180" i="11"/>
  <c r="F394" i="11"/>
  <c r="G13" i="12"/>
  <c r="Q37" i="12"/>
  <c r="B342" i="23"/>
  <c r="D68" i="24"/>
  <c r="I90" i="24"/>
  <c r="G12" i="12"/>
  <c r="Q36" i="12"/>
  <c r="B161" i="17"/>
  <c r="E386" i="17"/>
  <c r="D65" i="13"/>
  <c r="I85" i="13"/>
  <c r="D64" i="24"/>
  <c r="I86" i="24"/>
  <c r="D64" i="18"/>
  <c r="I86" i="18"/>
  <c r="O2" i="12"/>
  <c r="B157" i="23"/>
  <c r="E383" i="23"/>
  <c r="B152" i="11"/>
  <c r="F393" i="11"/>
  <c r="B331" i="11"/>
  <c r="B351" i="14"/>
  <c r="H47" i="9"/>
  <c r="G15" i="12"/>
  <c r="Q39" i="12"/>
  <c r="D67" i="24"/>
  <c r="I89" i="24"/>
  <c r="B284" i="11"/>
  <c r="F396" i="11"/>
  <c r="D67" i="18"/>
  <c r="I89" i="18"/>
  <c r="D68" i="13"/>
  <c r="I88" i="13"/>
  <c r="B300" i="23"/>
  <c r="E386" i="23"/>
  <c r="B303" i="17"/>
  <c r="E389" i="17"/>
  <c r="D84" i="18"/>
  <c r="D68" i="18"/>
  <c r="I90" i="18"/>
  <c r="B333" i="11"/>
  <c r="F397" i="11"/>
  <c r="D85" i="13"/>
  <c r="D85" i="24"/>
  <c r="B379" i="17"/>
  <c r="E391" i="17"/>
  <c r="D69" i="24"/>
  <c r="I91" i="24"/>
  <c r="D70" i="13"/>
  <c r="I90" i="13"/>
  <c r="D86" i="13"/>
  <c r="G17" i="12"/>
  <c r="Q41" i="12"/>
  <c r="D69" i="18"/>
  <c r="I91" i="18"/>
  <c r="B366" i="11"/>
  <c r="F398" i="11"/>
  <c r="B376" i="23"/>
  <c r="E388" i="23"/>
  <c r="D85" i="18"/>
  <c r="G11" i="12"/>
  <c r="Q35" i="12"/>
  <c r="D64" i="13"/>
  <c r="I84" i="13"/>
  <c r="D63" i="24"/>
  <c r="I85" i="24"/>
  <c r="B118" i="23"/>
  <c r="E382" i="23"/>
  <c r="B122" i="17"/>
  <c r="E385" i="17"/>
  <c r="D63" i="18"/>
  <c r="I85" i="18"/>
  <c r="B132" i="11"/>
  <c r="F392" i="11"/>
  <c r="D67" i="13"/>
  <c r="I87" i="13"/>
  <c r="B249" i="17"/>
  <c r="E388" i="17"/>
  <c r="G14" i="12"/>
  <c r="Q38" i="12"/>
  <c r="B236" i="11"/>
  <c r="F395" i="11"/>
  <c r="D66" i="18"/>
  <c r="I88" i="18"/>
  <c r="D66" i="24"/>
  <c r="I88" i="24"/>
  <c r="B246" i="23"/>
  <c r="E385" i="23"/>
  <c r="G16" i="12"/>
  <c r="Q40" i="12"/>
  <c r="D84" i="24"/>
  <c r="D69" i="13"/>
  <c r="I89" i="13"/>
  <c r="B344" i="23"/>
  <c r="E387" i="23"/>
  <c r="B347" i="17"/>
  <c r="E390" i="17"/>
  <c r="B40" i="25"/>
  <c r="B28" i="14"/>
  <c r="B9" i="3"/>
  <c r="E59" i="18"/>
  <c r="B67" i="14"/>
  <c r="E60" i="13"/>
  <c r="E59" i="24"/>
  <c r="J5" i="12"/>
  <c r="B60" i="17"/>
  <c r="B61" i="23"/>
  <c r="B77" i="11"/>
  <c r="B63" i="23"/>
  <c r="E381" i="23"/>
  <c r="E389" i="23"/>
  <c r="I396" i="23"/>
  <c r="D62" i="24"/>
  <c r="I84" i="24"/>
  <c r="F400" i="11"/>
  <c r="B62" i="17"/>
  <c r="E384" i="17"/>
  <c r="E392" i="17"/>
  <c r="I399" i="17"/>
  <c r="E395" i="17"/>
  <c r="B79" i="11"/>
  <c r="F391" i="11"/>
  <c r="F399" i="11"/>
  <c r="D63" i="13"/>
  <c r="I83" i="13"/>
  <c r="D62" i="18"/>
  <c r="I84" i="18"/>
  <c r="G10" i="12"/>
  <c r="Q34" i="12"/>
  <c r="E393" i="23"/>
  <c r="E394" i="23"/>
  <c r="E396" i="23"/>
  <c r="E392" i="23"/>
  <c r="E395" i="23"/>
  <c r="D70" i="18"/>
  <c r="E396" i="17"/>
  <c r="E398" i="17"/>
  <c r="D70" i="24"/>
  <c r="E58" i="24"/>
  <c r="P42" i="12"/>
  <c r="M394" i="11"/>
  <c r="G402" i="11"/>
  <c r="I408" i="14"/>
  <c r="E408" i="14"/>
  <c r="G18" i="12"/>
  <c r="O21" i="12"/>
  <c r="E399" i="17"/>
  <c r="E397" i="17"/>
  <c r="E58" i="18"/>
  <c r="I92" i="18"/>
  <c r="D87" i="18"/>
  <c r="D72" i="18"/>
  <c r="I91" i="13"/>
  <c r="E59" i="13"/>
  <c r="E409" i="14"/>
  <c r="I92" i="24"/>
  <c r="E411" i="14"/>
  <c r="F402" i="11"/>
  <c r="C402" i="11"/>
  <c r="L391" i="11"/>
  <c r="L388" i="11"/>
  <c r="L389" i="11"/>
  <c r="E402" i="11"/>
  <c r="L392" i="11"/>
  <c r="D402" i="11"/>
  <c r="L390" i="11"/>
  <c r="E407" i="14"/>
  <c r="D71" i="24"/>
  <c r="D87" i="24"/>
  <c r="D72" i="24"/>
  <c r="E410" i="14"/>
  <c r="Q42" i="12"/>
  <c r="D73" i="13"/>
  <c r="E406" i="14"/>
  <c r="G5" i="12"/>
  <c r="D73" i="18"/>
  <c r="D73" i="24"/>
  <c r="E57" i="24"/>
  <c r="H92" i="24"/>
  <c r="E58" i="13"/>
  <c r="H9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Danny</author>
  </authors>
  <commentList>
    <comment ref="E43" authorId="0" shapeId="0" xr:uid="{00000000-0006-0000-0400-000001000000}">
      <text>
        <r>
          <rPr>
            <sz val="9"/>
            <color rgb="FF000000"/>
            <rFont val="Tahoma"/>
            <family val="2"/>
          </rPr>
          <t xml:space="preserve">Total sqft under roof.  Eg to include: Garage or
</t>
        </r>
        <r>
          <rPr>
            <sz val="9"/>
            <color rgb="FF000000"/>
            <rFont val="Tahoma"/>
            <family val="2"/>
          </rPr>
          <t xml:space="preserve"> portch.
</t>
        </r>
      </text>
    </comment>
    <comment ref="E44" authorId="0" shapeId="0" xr:uid="{00000000-0006-0000-0400-000002000000}">
      <text>
        <r>
          <rPr>
            <sz val="9"/>
            <color rgb="FF000000"/>
            <rFont val="Tahoma"/>
            <family val="2"/>
          </rPr>
          <t>This is the conditioned SQFT. This cell feeds the small house credit on the General Page.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OToledo</author>
    <author>Danny</author>
    <author>Microsoft Office User</author>
    <author>Jennifer Languell</author>
    <author>Julia</author>
  </authors>
  <commentList>
    <comment ref="D5" authorId="0" shapeId="0" xr:uid="{00000000-0006-0000-0F00-000001000000}">
      <text>
        <r>
          <rPr>
            <sz val="11"/>
            <color rgb="FF000000"/>
            <rFont val="Arial"/>
            <family val="2"/>
          </rPr>
          <t xml:space="preserve">Requirement:   
</t>
        </r>
        <r>
          <rPr>
            <sz val="11"/>
            <color rgb="FF000000"/>
            <rFont val="Arial"/>
            <family val="2"/>
          </rPr>
          <t xml:space="preserve">Single Family:     Build a small efficient home 
</t>
        </r>
        <r>
          <rPr>
            <sz val="11"/>
            <color rgb="FF000000"/>
            <rFont val="Arial"/>
            <family val="2"/>
          </rPr>
          <t xml:space="preserve">Multi-family:       Submitting Each Unit: Use the specific square footage of each unit on the individual checklists 
</t>
        </r>
        <r>
          <rPr>
            <sz val="11"/>
            <color rgb="FF000000"/>
            <rFont val="Arial"/>
            <family val="2"/>
          </rPr>
          <t xml:space="preserve">Whole Building Certification: Use weighted average of dwelling units to determine the square footage for the small house credit.
</t>
        </r>
        <r>
          <rPr>
            <sz val="11"/>
            <color rgb="FF000000"/>
            <rFont val="Arial"/>
            <family val="2"/>
          </rPr>
          <t xml:space="preserve">Points: Based on the table located in the Reference Guide.
</t>
        </r>
        <r>
          <rPr>
            <sz val="11"/>
            <color rgb="FF000000"/>
            <rFont val="Arial"/>
            <family val="2"/>
          </rPr>
          <t xml:space="preserve">Conditioned House Size (square feet) Points:
</t>
        </r>
        <r>
          <rPr>
            <sz val="11"/>
            <color rgb="FF000000"/>
            <rFont val="Arial"/>
            <family val="2"/>
          </rPr>
          <t xml:space="preserve">         &lt; 1000 = 25
</t>
        </r>
        <r>
          <rPr>
            <sz val="11"/>
            <color rgb="FF000000"/>
            <rFont val="Arial"/>
            <family val="2"/>
          </rPr>
          <t xml:space="preserve">1000 - 1299 = 20
</t>
        </r>
        <r>
          <rPr>
            <sz val="11"/>
            <color rgb="FF000000"/>
            <rFont val="Arial"/>
            <family val="2"/>
          </rPr>
          <t xml:space="preserve">1300 - 1599 = 15
</t>
        </r>
        <r>
          <rPr>
            <sz val="11"/>
            <color rgb="FF000000"/>
            <rFont val="Arial"/>
            <family val="2"/>
          </rPr>
          <t xml:space="preserve">1600 - 1799 = 10
</t>
        </r>
        <r>
          <rPr>
            <sz val="11"/>
            <color rgb="FF000000"/>
            <rFont val="Arial"/>
            <family val="2"/>
          </rPr>
          <t xml:space="preserve">1800 - 1899 =  5
</t>
        </r>
        <r>
          <rPr>
            <sz val="11"/>
            <color rgb="FF000000"/>
            <rFont val="Arial"/>
            <family val="2"/>
          </rPr>
          <t xml:space="preserve">         ≥1900 =  0</t>
        </r>
      </text>
    </comment>
    <comment ref="D6" authorId="1" shapeId="0" xr:uid="{00000000-0006-0000-0F00-000002000000}">
      <text>
        <r>
          <rPr>
            <sz val="9"/>
            <color rgb="FF000000"/>
            <rFont val="Tahoma"/>
            <family val="2"/>
          </rPr>
          <t xml:space="preserve">
</t>
        </r>
        <r>
          <rPr>
            <sz val="9"/>
            <color rgb="FF000000"/>
            <rFont val="Tahoma"/>
            <family val="2"/>
          </rPr>
          <t>Pulls from the sqft cell on the Application Page</t>
        </r>
      </text>
    </comment>
    <comment ref="D9" authorId="0" shapeId="0" xr:uid="{00000000-0006-0000-0F00-000003000000}">
      <text>
        <r>
          <rPr>
            <sz val="11"/>
            <color rgb="FF000000"/>
            <rFont val="Arial"/>
            <family val="2"/>
          </rPr>
          <t xml:space="preserve">Requirement:  Roof trusses designed in such a way that a room can be added to the attic space. To qualify for the two points, minimum room size must be 100 square feet with an average finished height of at least seven feet.
</t>
        </r>
        <r>
          <rPr>
            <sz val="11"/>
            <color rgb="FF000000"/>
            <rFont val="Arial"/>
            <family val="2"/>
          </rPr>
          <t xml:space="preserve">Points:  2 
</t>
        </r>
        <r>
          <rPr>
            <sz val="11"/>
            <color rgb="FF000000"/>
            <rFont val="Arial"/>
            <family val="2"/>
          </rPr>
          <t xml:space="preserve">
</t>
        </r>
      </text>
    </comment>
    <comment ref="D10" authorId="0" shapeId="0" xr:uid="{00000000-0006-0000-0F00-000004000000}">
      <text>
        <r>
          <rPr>
            <sz val="11"/>
            <color rgb="FF000000"/>
            <rFont val="Arial"/>
            <family val="2"/>
          </rPr>
          <t xml:space="preserve">Requirement:  
</t>
        </r>
        <r>
          <rPr>
            <sz val="10"/>
            <color rgb="FF000000"/>
            <rFont val="Calibri"/>
            <family val="2"/>
          </rPr>
          <t xml:space="preserve">Home design includes a minimum of 100 square feet of unconditioned, unfinished space that is built such that it can easily be finished at a later time.  The space should be easily accessible and include a minimum 8 foot ceiling height.  </t>
        </r>
        <r>
          <rPr>
            <sz val="11"/>
            <color rgb="FF000000"/>
            <rFont val="Arial"/>
            <family val="2"/>
          </rPr>
          <t xml:space="preserve">
</t>
        </r>
        <r>
          <rPr>
            <sz val="11"/>
            <color rgb="FF000000"/>
            <rFont val="Arial"/>
            <family val="2"/>
          </rPr>
          <t xml:space="preserve">
</t>
        </r>
        <r>
          <rPr>
            <sz val="11"/>
            <color rgb="FF000000"/>
            <rFont val="Arial"/>
            <family val="2"/>
          </rPr>
          <t xml:space="preserve">Points:  1 point for 100 – 199 SF
</t>
        </r>
        <r>
          <rPr>
            <sz val="11"/>
            <color rgb="FF000000"/>
            <rFont val="Arial"/>
            <family val="2"/>
          </rPr>
          <t>2 points for 200 SF or more</t>
        </r>
      </text>
    </comment>
    <comment ref="D11" authorId="0" shapeId="0" xr:uid="{00000000-0006-0000-0F00-000005000000}">
      <text>
        <r>
          <rPr>
            <sz val="11"/>
            <color rgb="FF000000"/>
            <rFont val="Arial"/>
            <family val="2"/>
          </rPr>
          <t xml:space="preserve">Requirement:  Home must have a minimum of 2 upgraded automation systems installed.  Systems such as web accessed lighting, mechanical systems, or other systems that allow remote access and control of home systems.  
</t>
        </r>
        <r>
          <rPr>
            <sz val="11"/>
            <color rgb="FF000000"/>
            <rFont val="Arial"/>
            <family val="2"/>
          </rPr>
          <t xml:space="preserve">Points:  1 
</t>
        </r>
        <r>
          <rPr>
            <sz val="10"/>
            <color rgb="FF000000"/>
            <rFont val="Arial"/>
            <family val="2"/>
          </rPr>
          <t xml:space="preserve">
</t>
        </r>
      </text>
    </comment>
    <comment ref="D12" authorId="2" shapeId="0" xr:uid="{C9A06498-9252-4949-9C8B-218E3AC9C17E}">
      <text>
        <r>
          <rPr>
            <sz val="10"/>
            <color rgb="FF000000"/>
            <rFont val="Calibri"/>
            <family val="2"/>
            <scheme val="minor"/>
          </rPr>
          <t>Install plumbing for future installation of a solar hot water system running from the hot water tank location up through the roof.  Penetration should be properly sealed, and plumbing must be copper pipe or CPVC.  Not available if E2.16 is claimed.</t>
        </r>
        <r>
          <rPr>
            <sz val="10"/>
            <color rgb="FF000000"/>
            <rFont val="Calibri"/>
            <family val="2"/>
            <scheme val="minor"/>
          </rPr>
          <t xml:space="preserve"> </t>
        </r>
      </text>
    </comment>
    <comment ref="D13" authorId="2" shapeId="0" xr:uid="{17F85085-CAF8-9440-90C9-FDEBB8C1A069}">
      <text>
        <r>
          <rPr>
            <b/>
            <sz val="10"/>
            <color rgb="FF000000"/>
            <rFont val="Arial"/>
            <family val="34"/>
          </rPr>
          <t xml:space="preserve">Requirement:	</t>
        </r>
        <r>
          <rPr>
            <sz val="10"/>
            <color rgb="FF000000"/>
            <rFont val="Arial"/>
            <family val="34"/>
          </rPr>
          <t xml:space="preserve">Comply with the following
</t>
        </r>
        <r>
          <rPr>
            <sz val="10"/>
            <color rgb="FF000000"/>
            <rFont val="Arial"/>
            <family val="34"/>
          </rPr>
          <t xml:space="preserve">1). The home must have a minimum of 500 square feet  of available roof area that faces West, South or East.  Please note square footage needed will vary based on roof orientation and energy consumption of home.
</t>
        </r>
        <r>
          <rPr>
            <sz val="10"/>
            <color rgb="FF000000"/>
            <rFont val="Arial"/>
            <family val="34"/>
          </rPr>
          <t xml:space="preserve">2). Verify that the roof, as designed can support an additional 6lbs/sf of dead load for future solar system.  
</t>
        </r>
        <r>
          <rPr>
            <sz val="10"/>
            <color rgb="FF000000"/>
            <rFont val="Arial"/>
            <family val="34"/>
          </rPr>
          <t xml:space="preserve">3). Install a 1” metal conduit for the DC wire run from the designated PV array location to the designated inverter location, cap and label both ends.
</t>
        </r>
        <r>
          <rPr>
            <sz val="10"/>
            <color rgb="FF000000"/>
            <rFont val="Arial"/>
            <family val="34"/>
          </rPr>
          <t xml:space="preserve">4). Install a 1” metal conduit from the designated inverter location to the electrical service panel, cap and label both ends
</t>
        </r>
        <r>
          <rPr>
            <sz val="10"/>
            <color rgb="FF000000"/>
            <rFont val="Arial"/>
            <family val="34"/>
          </rPr>
          <t xml:space="preserve">5). Designate and provide appropriate blocking or support for a 4’ X 4’ area for mounting an inverter and system components. 
</t>
        </r>
        <r>
          <rPr>
            <sz val="10"/>
            <color rgb="FF000000"/>
            <rFont val="Arial"/>
            <family val="34"/>
          </rPr>
          <t xml:space="preserve">6). Install a 70-amp dual pole circuit breaker in the electrical service panel for use by the V system, labeled appropriately.
</t>
        </r>
        <r>
          <rPr>
            <sz val="10"/>
            <color rgb="FF000000"/>
            <rFont val="Arial"/>
            <family val="34"/>
          </rPr>
          <t xml:space="preserve">7). Provide the homeowner with a set of plans identifying the free roof area, location of panel blocking and location of breaker
</t>
        </r>
        <r>
          <rPr>
            <sz val="10"/>
            <color rgb="FF000000"/>
            <rFont val="Arial"/>
            <family val="34"/>
          </rPr>
          <t xml:space="preserve">
</t>
        </r>
        <r>
          <rPr>
            <sz val="10"/>
            <color rgb="FF000000"/>
            <rFont val="Arial"/>
            <family val="34"/>
          </rPr>
          <t xml:space="preserve">Points:	</t>
        </r>
        <r>
          <rPr>
            <b/>
            <sz val="10"/>
            <color rgb="FF000000"/>
            <rFont val="Arial"/>
            <family val="34"/>
          </rPr>
          <t>3 points</t>
        </r>
        <r>
          <rPr>
            <sz val="10"/>
            <color rgb="FF000000"/>
            <rFont val="Arial"/>
            <family val="34"/>
          </rPr>
          <t xml:space="preserve">
</t>
        </r>
      </text>
    </comment>
    <comment ref="D14" authorId="2" shapeId="0" xr:uid="{0CE9AC11-B79F-FE46-BEF1-861A28B33C2C}">
      <text>
        <r>
          <rPr>
            <sz val="10"/>
            <color rgb="FF000000"/>
            <rFont val="Calibri"/>
            <family val="2"/>
          </rPr>
          <t xml:space="preserve">Provide stub-outs to simplify the connection to future utilities where septic tanks are used.  
</t>
        </r>
        <r>
          <rPr>
            <sz val="10"/>
            <color rgb="FF000000"/>
            <rFont val="Tahoma"/>
            <family val="2"/>
          </rPr>
          <t xml:space="preserve">
</t>
        </r>
        <r>
          <rPr>
            <sz val="10"/>
            <color rgb="FF000000"/>
            <rFont val="Tahoma"/>
            <family val="2"/>
          </rPr>
          <t xml:space="preserve">2 Points
</t>
        </r>
      </text>
    </comment>
    <comment ref="D15" authorId="2" shapeId="0" xr:uid="{FF2B709B-28CA-F345-978E-378A7233FBAD}">
      <text>
        <r>
          <rPr>
            <sz val="10"/>
            <color rgb="FF000000"/>
            <rFont val="Arial"/>
            <family val="34"/>
          </rPr>
          <t xml:space="preserve">Single Family:  Install a 220-240 VAC, 60Hz, ground branch circuit with a double pole 50 Amp circuit breaker.  Provide a NEMA 14-50 plug or J1772 compliant charger accessible in the garage or, if no garage, in a location adjacent to car parking. 
</t>
        </r>
        <r>
          <rPr>
            <sz val="10"/>
            <color rgb="FF000000"/>
            <rFont val="Arial"/>
            <family val="34"/>
          </rPr>
          <t xml:space="preserve">
</t>
        </r>
        <r>
          <rPr>
            <sz val="10"/>
            <color rgb="FF000000"/>
            <rFont val="Arial"/>
            <family val="34"/>
          </rPr>
          <t xml:space="preserve">Multi-Family:  Provide electric vehicle charging capacity at 1.5% or 3% of the provided parking spaces.  Install a 220-240 VAC, 60Hz, ground branch circuit with a double pole 50 Amp circuit breaker.  Provide a NEMA 14-50 plug or J1772 compliant charger
</t>
        </r>
        <r>
          <rPr>
            <sz val="10"/>
            <color rgb="FF000000"/>
            <rFont val="Arial"/>
            <family val="34"/>
          </rPr>
          <t xml:space="preserve">
</t>
        </r>
        <r>
          <rPr>
            <sz val="10"/>
            <color rgb="FF000000"/>
            <rFont val="Arial"/>
            <family val="34"/>
          </rPr>
          <t xml:space="preserve">Points:	
</t>
        </r>
        <r>
          <rPr>
            <sz val="10"/>
            <color rgb="FF000000"/>
            <rFont val="Arial"/>
            <family val="34"/>
          </rPr>
          <t xml:space="preserve">1 Point Provide a minimum NEMA 14/50 plug in the garage or available for car charging.  Conduit and breaker space 
</t>
        </r>
        <r>
          <rPr>
            <sz val="10"/>
            <color rgb="FF000000"/>
            <rFont val="Arial"/>
            <family val="34"/>
          </rPr>
          <t xml:space="preserve">2 Points for providing conduit and installing breaker
</t>
        </r>
        <r>
          <rPr>
            <sz val="10"/>
            <color rgb="FF000000"/>
            <rFont val="Arial"/>
            <family val="34"/>
          </rPr>
          <t xml:space="preserve">2 Points 1.5% of Parking on Multi-Family Projects
</t>
        </r>
        <r>
          <rPr>
            <sz val="10"/>
            <color rgb="FF000000"/>
            <rFont val="Arial"/>
            <family val="34"/>
          </rPr>
          <t xml:space="preserve">3 Points 3% of Parking on Multi-Family Projects
</t>
        </r>
      </text>
    </comment>
    <comment ref="D18" authorId="0" shapeId="0" xr:uid="{00000000-0006-0000-0F00-000006000000}">
      <text>
        <r>
          <rPr>
            <sz val="11"/>
            <color rgb="FF000000"/>
            <rFont val="Arial"/>
            <family val="2"/>
          </rPr>
          <t xml:space="preserve">Requirement:  Install a minimum of 2KW of renewable power systems (photovoltaic’s, fuel cell, micro turbine, geothermal power systems, etc) at the site that meet loads not specifically described and credited under different categories (e.g., outside lighting, pool prerequisite).  
</t>
        </r>
        <r>
          <rPr>
            <sz val="11"/>
            <color rgb="FF000000"/>
            <rFont val="Arial"/>
            <family val="2"/>
          </rPr>
          <t xml:space="preserve">Points:  1 point for each 2 KW  (max 5 points) 
</t>
        </r>
      </text>
    </comment>
    <comment ref="D22" authorId="0" shapeId="0" xr:uid="{00000000-0006-0000-0F00-000007000000}">
      <text>
        <r>
          <rPr>
            <sz val="11"/>
            <color rgb="FF000000"/>
            <rFont val="Arial"/>
            <family val="2"/>
          </rPr>
          <t xml:space="preserve">Requirement:  Home Certificate of Occupancy must be </t>
        </r>
        <r>
          <rPr>
            <sz val="11"/>
            <color rgb="FF000000"/>
            <rFont val="Symbol"/>
            <family val="1"/>
            <charset val="2"/>
          </rPr>
          <t>&gt;</t>
        </r>
        <r>
          <rPr>
            <sz val="11"/>
            <color rgb="FF000000"/>
            <rFont val="Arial"/>
            <family val="2"/>
          </rPr>
          <t xml:space="preserve"> 12 months old and the home has achieved a HERS Index of 80 or below.
</t>
        </r>
        <r>
          <rPr>
            <sz val="11"/>
            <color rgb="FF000000"/>
            <rFont val="Arial"/>
            <family val="2"/>
          </rPr>
          <t xml:space="preserve">Points:  10 
</t>
        </r>
      </text>
    </comment>
    <comment ref="D23" authorId="0" shapeId="0" xr:uid="{00000000-0006-0000-0F00-000008000000}">
      <text>
        <r>
          <rPr>
            <sz val="11"/>
            <color rgb="FF000000"/>
            <rFont val="Arial"/>
            <family val="2"/>
          </rPr>
          <t xml:space="preserve">Requirement:  In homes older than 1992, all toilets must be 1.6 gallons per flush or less, and all showerheads must be 2.5 gallons per minute or less. Note: Additional points are available in the water category if lower flow fixtures are installed.
</t>
        </r>
        <r>
          <rPr>
            <sz val="11"/>
            <color rgb="FF000000"/>
            <rFont val="Arial"/>
            <family val="2"/>
          </rPr>
          <t xml:space="preserve">Points:  3  
</t>
        </r>
      </text>
    </comment>
    <comment ref="D24" authorId="0" shapeId="0" xr:uid="{00000000-0006-0000-0F00-000009000000}">
      <text>
        <r>
          <rPr>
            <sz val="11"/>
            <color rgb="FF000000"/>
            <rFont val="Arial"/>
            <family val="2"/>
          </rPr>
          <t xml:space="preserve">Requirement:  If the home has an existing installed irrigation system, the system must be upgraded to include a rain sensor, timer-based controller, and code irrigation heads.
</t>
        </r>
        <r>
          <rPr>
            <sz val="11"/>
            <color rgb="FF000000"/>
            <rFont val="Arial"/>
            <family val="2"/>
          </rPr>
          <t xml:space="preserve">
</t>
        </r>
        <r>
          <rPr>
            <sz val="11"/>
            <color rgb="FF000000"/>
            <rFont val="Arial"/>
            <family val="2"/>
          </rPr>
          <t xml:space="preserve">Points:  2 
</t>
        </r>
      </text>
    </comment>
    <comment ref="D25" authorId="3" shapeId="0" xr:uid="{00000000-0006-0000-0F00-00000A000000}">
      <text>
        <r>
          <rPr>
            <sz val="11"/>
            <color rgb="FF000000"/>
            <rFont val="Arial"/>
            <family val="2"/>
          </rPr>
          <t xml:space="preserve">Requirement:  Any pool pump that is ≥ 1 hp and is ≥7 years old MUST, at a minimum, update their motor to a dual speed motor with the same flow rate.  (Replacement of the pump is not required).  
</t>
        </r>
        <r>
          <rPr>
            <sz val="11"/>
            <color rgb="FF000000"/>
            <rFont val="Arial"/>
            <family val="2"/>
          </rPr>
          <t xml:space="preserve">
</t>
        </r>
        <r>
          <rPr>
            <sz val="11"/>
            <color rgb="FF000000"/>
            <rFont val="Arial"/>
            <family val="2"/>
          </rPr>
          <t xml:space="preserve">Points:  2 </t>
        </r>
        <r>
          <rPr>
            <sz val="11"/>
            <color rgb="FF008000"/>
            <rFont val="Arial"/>
            <family val="2"/>
          </rPr>
          <t xml:space="preserve">
</t>
        </r>
      </text>
    </comment>
    <comment ref="D26" authorId="3" shapeId="0" xr:uid="{00000000-0006-0000-0F00-00000B000000}">
      <text>
        <r>
          <rPr>
            <b/>
            <sz val="9"/>
            <color indexed="81"/>
            <rFont val="Calibri"/>
            <family val="2"/>
          </rPr>
          <t xml:space="preserve">Requirement:  </t>
        </r>
        <r>
          <rPr>
            <sz val="9"/>
            <color indexed="81"/>
            <rFont val="Calibri"/>
            <family val="2"/>
          </rPr>
          <t xml:space="preserve">Home must have roof to wall connections upgraded to code minimum in instances where the majority of trusses (1) are toenailed to top plate (frame walls), OR (2) have hurricane clips missing (frame or masonry walls), OR (3) have hurricane single/double straps with more than 1" space between truss and bond beam (masonry walls).
Points: 2
</t>
        </r>
      </text>
    </comment>
    <comment ref="M26" authorId="3" shapeId="0" xr:uid="{00000000-0006-0000-0F00-00000C000000}">
      <text>
        <r>
          <rPr>
            <b/>
            <sz val="9"/>
            <color indexed="81"/>
            <rFont val="Calibri"/>
            <family val="2"/>
          </rPr>
          <t xml:space="preserve">Requirement:  </t>
        </r>
        <r>
          <rPr>
            <sz val="9"/>
            <color indexed="81"/>
            <rFont val="Calibri"/>
            <family val="2"/>
          </rPr>
          <t xml:space="preserve">Home must have roof to wall connections upgraded to code minimum in instances where the majority of trusses (1) are toenailed to top plate (frame walls), OR (2) have hurricane clips missing (frame or masonry walls), OR (3) have hurricane single/double straps with more than 1" space between truss and bond beam (masonry walls).
Points: 2
</t>
        </r>
      </text>
    </comment>
    <comment ref="M28" authorId="3" shapeId="0" xr:uid="{00000000-0006-0000-0F00-00000D000000}">
      <text>
        <r>
          <rPr>
            <b/>
            <sz val="9"/>
            <color indexed="81"/>
            <rFont val="Calibri"/>
            <family val="2"/>
          </rPr>
          <t xml:space="preserve">Requirement:  </t>
        </r>
        <r>
          <rPr>
            <sz val="9"/>
            <color indexed="81"/>
            <rFont val="Calibri"/>
            <family val="2"/>
          </rPr>
          <t xml:space="preserve">Home must have roof to wall connections upgraded to code minimum in instances where the majority of trusses (1) are toenailed to top plate (frame walls), OR (2) have hurricane clips missing (frame or masonry walls), OR (3) have hurricane single/double straps with more than 1" space between truss and bond beam (masonry walls).
Points: 2
</t>
        </r>
      </text>
    </comment>
    <comment ref="D29" authorId="0" shapeId="0" xr:uid="{00000000-0006-0000-0F00-00000E000000}">
      <text>
        <r>
          <rPr>
            <sz val="11"/>
            <color indexed="81"/>
            <rFont val="Arial"/>
            <family val="2"/>
          </rPr>
          <t xml:space="preserve">Requirement:  Design/construction team are members of FGBC, the Certifying Agent(s) cannot be counted
Points:  1 point for each member (2 points max).  
 </t>
        </r>
      </text>
    </comment>
    <comment ref="D31" authorId="0" shapeId="0" xr:uid="{00000000-0006-0000-0F00-00000F000000}">
      <text>
        <r>
          <rPr>
            <sz val="9"/>
            <color rgb="FF000000"/>
            <rFont val="Arial"/>
            <family val="2"/>
          </rPr>
          <t xml:space="preserve">Requirement:  Homeowner has received a manual that includes the 3 co-requisite items plus 4 additional items from the following list.
</t>
        </r>
        <r>
          <rPr>
            <sz val="9"/>
            <color rgb="FF000000"/>
            <rFont val="Arial"/>
            <family val="2"/>
          </rPr>
          <t xml:space="preserve">Co-requisites:  </t>
        </r>
        <r>
          <rPr>
            <sz val="11"/>
            <color rgb="FF000000"/>
            <rFont val="Arial"/>
            <family val="2"/>
          </rPr>
          <t xml:space="preserve">
</t>
        </r>
        <r>
          <rPr>
            <sz val="9"/>
            <color rgb="FF000000"/>
            <rFont val="Arial"/>
            <family val="2"/>
          </rPr>
          <t xml:space="preserve">• Green certificate
</t>
        </r>
        <r>
          <rPr>
            <sz val="9"/>
            <color rgb="FF000000"/>
            <rFont val="Arial"/>
            <family val="2"/>
          </rPr>
          <t xml:space="preserve">• List of green features included in the home. This list can be their final checklist
</t>
        </r>
        <r>
          <rPr>
            <sz val="9"/>
            <color rgb="FF000000"/>
            <rFont val="Arial"/>
            <family val="2"/>
          </rPr>
          <t xml:space="preserve">• Provide green lifestyle tips for water and energy conservation as well as improved indoor air quality contributing to:
</t>
        </r>
        <r>
          <rPr>
            <sz val="9"/>
            <color rgb="FF000000"/>
            <rFont val="Arial"/>
            <family val="2"/>
          </rPr>
          <t xml:space="preserve">o Reduced operating cost of the house
</t>
        </r>
        <r>
          <rPr>
            <sz val="9"/>
            <color rgb="FF000000"/>
            <rFont val="Arial"/>
            <family val="2"/>
          </rPr>
          <t xml:space="preserve">o Environmental benefits
</t>
        </r>
        <r>
          <rPr>
            <sz val="9"/>
            <color rgb="FF000000"/>
            <rFont val="Arial"/>
            <family val="2"/>
          </rPr>
          <t xml:space="preserve">o A healthier indoor environment for the occupants
</t>
        </r>
        <r>
          <rPr>
            <sz val="9"/>
            <color rgb="FF000000"/>
            <rFont val="Arial"/>
            <family val="2"/>
          </rPr>
          <t xml:space="preserve">Plus select at least 4 of the following:
</t>
        </r>
        <r>
          <rPr>
            <sz val="9"/>
            <color rgb="FF000000"/>
            <rFont val="Arial"/>
            <family val="2"/>
          </rPr>
          <t xml:space="preserve">• Information on Energy Star appliances
</t>
        </r>
        <r>
          <rPr>
            <sz val="9"/>
            <color rgb="FF000000"/>
            <rFont val="Arial"/>
            <family val="2"/>
          </rPr>
          <t xml:space="preserve">• Product manufacturer manuals for installed major equipment, fixtures, and appliances. 
</t>
        </r>
        <r>
          <rPr>
            <sz val="9"/>
            <color rgb="FF000000"/>
            <rFont val="Arial"/>
            <family val="2"/>
          </rPr>
          <t xml:space="preserve">• An explanation of green features and products included in the home along with the benefits of each.
</t>
        </r>
        <r>
          <rPr>
            <sz val="9"/>
            <color rgb="FF000000"/>
            <rFont val="Arial"/>
            <family val="2"/>
          </rPr>
          <t xml:space="preserve">• Offer an explanation of energy-efficient lighting options included in the home, how to select the proper bulbs, and where to purchase replacement bulbs.
</t>
        </r>
        <r>
          <rPr>
            <sz val="9"/>
            <color rgb="FF000000"/>
            <rFont val="Arial"/>
            <family val="2"/>
          </rPr>
          <t xml:space="preserve">• Directions to local transportation options and bike/walking trails
</t>
        </r>
        <r>
          <rPr>
            <sz val="9"/>
            <color rgb="FF000000"/>
            <rFont val="Arial"/>
            <family val="2"/>
          </rPr>
          <t xml:space="preserve">• Outline of household recycling opportunities offered by the county or city
</t>
        </r>
        <r>
          <rPr>
            <sz val="9"/>
            <color rgb="FF000000"/>
            <rFont val="Arial"/>
            <family val="2"/>
          </rPr>
          <t xml:space="preserve">• A photo or video record taken just prior to insulation, showing installed mechanical, wiring, and plumbing in the walls and ceilings.
</t>
        </r>
        <r>
          <rPr>
            <sz val="9"/>
            <color rgb="FF000000"/>
            <rFont val="Arial"/>
            <family val="2"/>
          </rPr>
          <t xml:space="preserve">• Maintenance checklist 
</t>
        </r>
        <r>
          <rPr>
            <sz val="9"/>
            <color rgb="FF000000"/>
            <rFont val="Arial"/>
            <family val="2"/>
          </rPr>
          <t xml:space="preserve">• Evacuation routes
</t>
        </r>
        <r>
          <rPr>
            <sz val="9"/>
            <color rgb="FF000000"/>
            <rFont val="Arial"/>
            <family val="2"/>
          </rPr>
          <t xml:space="preserve">• Hurricane preparedness instructions
</t>
        </r>
        <r>
          <rPr>
            <sz val="9"/>
            <color rgb="FF000000"/>
            <rFont val="Arial"/>
            <family val="2"/>
          </rPr>
          <t xml:space="preserve">• Shelter locations indicating those that take animals
</t>
        </r>
        <r>
          <rPr>
            <sz val="9"/>
            <color rgb="FF000000"/>
            <rFont val="Arial"/>
            <family val="2"/>
          </rPr>
          <t xml:space="preserve">• Landscape plan including care and feeding of the installed plants
</t>
        </r>
        <r>
          <rPr>
            <sz val="9"/>
            <color rgb="FF000000"/>
            <rFont val="Arial"/>
            <family val="2"/>
          </rPr>
          <t xml:space="preserve">• List of turf maintenance companies offering natural, non-chemical care options.
</t>
        </r>
        <r>
          <rPr>
            <sz val="9"/>
            <color rgb="FF000000"/>
            <rFont val="Arial"/>
            <family val="2"/>
          </rPr>
          <t xml:space="preserve">• List of local organizations / companies that recycle various products such as used tennis shoes, computers, batteries, paint, eye glasses, cell phones/small electronics, etc. 
</t>
        </r>
        <r>
          <rPr>
            <sz val="9"/>
            <color rgb="FF000000"/>
            <rFont val="Arial"/>
            <family val="2"/>
          </rPr>
          <t xml:space="preserve">• List of local farmers markets and CSAs (Community Supported Agriculture)
</t>
        </r>
        <r>
          <rPr>
            <sz val="9"/>
            <color rgb="FF000000"/>
            <rFont val="Arial"/>
            <family val="2"/>
          </rPr>
          <t xml:space="preserve">• List of sources for purchase of pasture-raised and finished meat, poultry, eggs and dairy originating from local farms. If none available, provide a list of online options from the closest sources. 
</t>
        </r>
        <r>
          <rPr>
            <sz val="9"/>
            <color rgb="FF000000"/>
            <rFont val="Arial"/>
            <family val="2"/>
          </rPr>
          <t xml:space="preserve">• List of local restaurants serving predominantly local and organic produce and, if not a vegan restaurant, local, pasture-raised meat, dairy, poultry and eggs. 
</t>
        </r>
        <r>
          <rPr>
            <sz val="9"/>
            <color rgb="FF000000"/>
            <rFont val="Arial"/>
            <family val="2"/>
          </rPr>
          <t xml:space="preserve">
</t>
        </r>
        <r>
          <rPr>
            <sz val="9"/>
            <color rgb="FF000000"/>
            <rFont val="Arial"/>
            <family val="2"/>
          </rPr>
          <t>Points:   2</t>
        </r>
      </text>
    </comment>
    <comment ref="D32" authorId="4" shapeId="0" xr:uid="{00000000-0006-0000-0F00-000010000000}">
      <text>
        <r>
          <rPr>
            <sz val="11"/>
            <color rgb="FF000000"/>
            <rFont val="Arial"/>
            <family val="2"/>
          </rPr>
          <t xml:space="preserve">Requirement:  Providing each homeowner with a “green maintenance” checklist.,  All applicable items on the checklist must be discussed with the homeowner. 
</t>
        </r>
        <r>
          <rPr>
            <sz val="11"/>
            <color rgb="FF000000"/>
            <rFont val="Arial"/>
            <family val="2"/>
          </rPr>
          <t xml:space="preserve">
</t>
        </r>
        <r>
          <rPr>
            <sz val="11"/>
            <color rgb="FF000000"/>
            <rFont val="Arial"/>
            <family val="2"/>
          </rPr>
          <t xml:space="preserve">Points:  2 
</t>
        </r>
        <r>
          <rPr>
            <sz val="11"/>
            <color rgb="FF000000"/>
            <rFont val="Arial"/>
            <family val="2"/>
          </rPr>
          <t xml:space="preserve">
</t>
        </r>
        <r>
          <rPr>
            <sz val="11"/>
            <color rgb="FF000000"/>
            <rFont val="Arial"/>
            <family val="2"/>
          </rPr>
          <t xml:space="preserve">Intent: Providing onsite training to the homeowner will help them understand how to operate the house and take care of the landscape so that the intended benefits of a green home are realized for the customer and the earth.  
</t>
        </r>
        <r>
          <rPr>
            <sz val="11"/>
            <color rgb="FF000000"/>
            <rFont val="Arial"/>
            <family val="2"/>
          </rPr>
          <t xml:space="preserve">
</t>
        </r>
        <r>
          <rPr>
            <sz val="11"/>
            <color rgb="FF000000"/>
            <rFont val="Arial"/>
            <family val="2"/>
          </rPr>
          <t xml:space="preserve">Submittal:  Location of training, point of contact for the homeowner (warrantee, subcontractor, and vendor information if applicable), length of training, and or a copy of the checklist provided to the homeowner.
</t>
        </r>
      </text>
    </comment>
    <comment ref="D33" authorId="0" shapeId="0" xr:uid="{00000000-0006-0000-0F00-000011000000}">
      <text>
        <r>
          <rPr>
            <sz val="11"/>
            <color rgb="FF000000"/>
            <rFont val="Arial"/>
            <family val="2"/>
          </rPr>
          <t xml:space="preserve">Requirement:  A minimum of 50 square feet is dedicated to edible landscape plants.  For multi-family projects, provide a minimum of 250 SF of garden space PLUS and additional 10 SF for each additional unit in the project.  (For example, a 10 unit project should have a minimum of 350 SF of garden space).  The 50 sq ft can be a combination of garden space, area under fruit/nut tree drip lines, and shrubs...
</t>
        </r>
        <r>
          <rPr>
            <sz val="11"/>
            <color rgb="FF000000"/>
            <rFont val="Arial"/>
            <family val="2"/>
          </rPr>
          <t xml:space="preserve">Points:   1
</t>
        </r>
        <r>
          <rPr>
            <sz val="11"/>
            <color rgb="FF000000"/>
            <rFont val="Arial"/>
            <family val="2"/>
          </rPr>
          <t xml:space="preserve">Intent: Homeowner food production is often organic, requiring less fertilizer and pesticide use, and is free from pollution associated with transporting the produce.  
</t>
        </r>
        <r>
          <rPr>
            <sz val="11"/>
            <color rgb="FF000000"/>
            <rFont val="Arial"/>
            <family val="2"/>
          </rPr>
          <t xml:space="preserve">Submittal:  Landscaping plan, copy of handout.
</t>
        </r>
      </text>
    </comment>
    <comment ref="D34" authorId="0" shapeId="0" xr:uid="{00000000-0006-0000-0F00-000012000000}">
      <text>
        <r>
          <rPr>
            <sz val="11"/>
            <color indexed="81"/>
            <rFont val="Arial"/>
            <family val="2"/>
          </rPr>
          <t xml:space="preserve">Requirement:  Home must have its energy bills guaranteed by the builder or another entity not to exceed a maximum amount for at least two years.  
Points:  2 
  </t>
        </r>
      </text>
    </comment>
    <comment ref="D35" authorId="0" shapeId="0" xr:uid="{00000000-0006-0000-0F00-000013000000}">
      <text>
        <r>
          <rPr>
            <sz val="11"/>
            <color rgb="FF000000"/>
            <rFont val="Arial"/>
            <family val="2"/>
          </rPr>
          <t xml:space="preserve">Requirement:  Builder or designated employee is an FGBC Certified Green Professional  
</t>
        </r>
        <r>
          <rPr>
            <sz val="11"/>
            <color rgb="FF000000"/>
            <rFont val="Arial"/>
            <family val="2"/>
          </rPr>
          <t xml:space="preserve">Points:  2
</t>
        </r>
        <r>
          <rPr>
            <sz val="11"/>
            <color rgb="FF000000"/>
            <rFont val="Arial"/>
            <family val="2"/>
          </rPr>
          <t xml:space="preserve">Intent: To reward builders for becoming certified 
</t>
        </r>
        <r>
          <rPr>
            <sz val="11"/>
            <color rgb="FF000000"/>
            <rFont val="Arial"/>
            <family val="2"/>
          </rPr>
          <t xml:space="preserve">Submittal:  Required - completed FGBC Certified Green Professional Course and receive passing score and certificate.
</t>
        </r>
        <r>
          <rPr>
            <sz val="11"/>
            <color rgb="FF000000"/>
            <rFont val="Arial"/>
            <family val="2"/>
          </rPr>
          <t xml:space="preserve">
</t>
        </r>
        <r>
          <rPr>
            <sz val="11"/>
            <color rgb="FF000000"/>
            <rFont val="Arial"/>
            <family val="2"/>
          </rPr>
          <t xml:space="preserve">  </t>
        </r>
      </text>
    </comment>
    <comment ref="D36" authorId="0" shapeId="0" xr:uid="{00000000-0006-0000-0F00-000014000000}">
      <text>
        <r>
          <rPr>
            <sz val="11"/>
            <color rgb="FF000000"/>
            <rFont val="Arial"/>
            <family val="2"/>
          </rPr>
          <t xml:space="preserve">Requirement: Conduct an Energy Star inspection and collect all Energy Star checklists and associated data, for submission to achieve Energy Star Certification.  Note that the Thermal Bypass Inspection credit is not available to homes that are Energy Star Qualified.  
</t>
        </r>
        <r>
          <rPr>
            <sz val="11"/>
            <color rgb="FF000000"/>
            <rFont val="Arial"/>
            <family val="2"/>
          </rPr>
          <t xml:space="preserve">
</t>
        </r>
        <r>
          <rPr>
            <sz val="11"/>
            <color rgb="FF000000"/>
            <rFont val="Arial"/>
            <family val="2"/>
          </rPr>
          <t xml:space="preserve">Points: 5
</t>
        </r>
        <r>
          <rPr>
            <sz val="11"/>
            <color rgb="FF000000"/>
            <rFont val="Arial"/>
            <family val="2"/>
          </rPr>
          <t xml:space="preserve">
</t>
        </r>
        <r>
          <rPr>
            <sz val="11"/>
            <color rgb="FF000000"/>
            <rFont val="Arial"/>
            <family val="2"/>
          </rPr>
          <t xml:space="preserve">Intent: Reduce energy consumption in homes and improve building quality. Energy Star homes are by definition 15% more energy efficient than Florida Code requires.  The current version of Energy Star requires the completion of multiple checklists by the Energy Star Rater, the Builder and the HVAC Contractor, all of whom have to be Energy Star Partners. This ensures more accountability (third party verification) as well as a more durable and better performing home.
</t>
        </r>
        <r>
          <rPr>
            <sz val="11"/>
            <color rgb="FF000000"/>
            <rFont val="Arial"/>
            <family val="2"/>
          </rPr>
          <t xml:space="preserve">
</t>
        </r>
        <r>
          <rPr>
            <sz val="11"/>
            <color rgb="FF000000"/>
            <rFont val="Arial"/>
            <family val="2"/>
          </rPr>
          <t xml:space="preserve">Submittals: Energy Star Certificate.
</t>
        </r>
      </text>
    </comment>
    <comment ref="D37" authorId="0" shapeId="0" xr:uid="{00000000-0006-0000-0F00-000015000000}">
      <text>
        <r>
          <rPr>
            <sz val="11"/>
            <color rgb="FF000000"/>
            <rFont val="Arial"/>
            <family val="2"/>
          </rPr>
          <t xml:space="preserve">Requirement:  Submit written explanation of environmental contribution that deserves credit and the point value being requested.  
</t>
        </r>
        <r>
          <rPr>
            <sz val="11"/>
            <color rgb="FF000000"/>
            <rFont val="Arial"/>
            <family val="2"/>
          </rPr>
          <t xml:space="preserve">Points:  up to 5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OToledo</author>
  </authors>
  <commentList>
    <comment ref="A316" authorId="0" shapeId="0" xr:uid="{00000000-0006-0000-1100-000001000000}">
      <text>
        <r>
          <rPr>
            <sz val="11"/>
            <color indexed="81"/>
            <rFont val="Arial"/>
            <family val="2"/>
          </rPr>
          <t xml:space="preserve">FGBC awards 3 points for incorporating all of the following criteria:
Finished floor level at least 12” above 100 yr. flood plain: The finished floor level must be at least 12” above the 100-year flood plain as determined by the water management district or the local building department.  
Bottom of slab or first floor at least 8” above the top of backfilled dirt, graded for proper drainage: The bottom of the slab (or in the case of a crawlspace, the floor) must be at least 8” above the adjacent dirt level. This strategy may help with flooding and termite inspections. Please check with appropriate civil engineer to verify if this strategy is appropriate for the given foundation and home.  
Grade slopes away from building on all sides: Grade must be sloped away from the building on all sides to allow water to drain away from the home.
Garage floor and driveway properly sloped to drain out.  Garage floor at least 4” lower than living floor: The garage and driveway must have a slope of 1” per twenty feet minimum, and the average height in the garage must be 4” lower than the lowest location on the first floor.  </t>
        </r>
        <r>
          <rPr>
            <b/>
            <sz val="9"/>
            <color indexed="81"/>
            <rFont val="Tahoma"/>
            <family val="2"/>
          </rPr>
          <t xml:space="preserve">
</t>
        </r>
      </text>
    </comment>
    <comment ref="A320" authorId="0" shapeId="0" xr:uid="{00000000-0006-0000-1100-000002000000}">
      <text>
        <r>
          <rPr>
            <sz val="11"/>
            <color indexed="81"/>
            <rFont val="Arial"/>
            <family val="2"/>
          </rPr>
          <t xml:space="preserve">FGBC awards 3 points for incorporating all of the following criteria:
Fire resistant exterior wall cladding: An exterior cladding other than wood or vinyl must be used on all exterior walls.  Examples include stucco, unfinished CBS, brick, aluminum, stone and fiber-cement. 
Fire resistant roof covering or sub-roof: A roof covering other than asphalt shingles or wood shakes must be used on the entire roof.  Examples include metal, concrete, fiber-cement, and tile.  Credit is also available if the sub-roof (roof deck) is of a fire resistant material, instead of the covering.  
Fire resistant soffit and vent material: A soffit and vent material other than wood or vinyl must be used.  When these parts of the home are compromised, embers from nearby fires can enter into the attic.  Examples include aluminum and fiber-cement.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Oscar Toledo</author>
    <author>Jennifer Languell</author>
  </authors>
  <commentList>
    <comment ref="C6" authorId="0" shapeId="0" xr:uid="{00000000-0006-0000-0700-000001000000}">
      <text>
        <r>
          <rPr>
            <sz val="10"/>
            <color rgb="FF000000"/>
            <rFont val="Arial"/>
            <family val="2"/>
          </rPr>
          <t xml:space="preserve">Requirement: Homes with swimming pools install use a pool sanitation system that reduces the use of chlorine.   
</t>
        </r>
        <r>
          <rPr>
            <sz val="10"/>
            <color rgb="FF000000"/>
            <rFont val="Arial"/>
            <family val="2"/>
          </rPr>
          <t xml:space="preserve">
</t>
        </r>
        <r>
          <rPr>
            <sz val="10"/>
            <color rgb="FF000000"/>
            <rFont val="Arial"/>
            <family val="2"/>
          </rPr>
          <t xml:space="preserve">Points:  Prerequisite – ONE of P1.01 – 1.04 is required
</t>
        </r>
        <r>
          <rPr>
            <sz val="10"/>
            <color rgb="FF000000"/>
            <rFont val="Arial"/>
            <family val="2"/>
          </rPr>
          <t>Submittals: Cut sheet or photo of sanitation system.</t>
        </r>
      </text>
    </comment>
    <comment ref="C7" authorId="0" shapeId="0" xr:uid="{00000000-0006-0000-0700-000002000000}">
      <text>
        <r>
          <rPr>
            <sz val="10"/>
            <color indexed="81"/>
            <rFont val="Arial"/>
            <family val="2"/>
          </rPr>
          <t>Requirement:  Homes with pools and or spas have covers. In addition, owners have been educated regarding the proper use.  
Points:  Prerequisite – ONE of P1.01 – 1.04 is required
Submittals: Cut sheet or photo of cover.</t>
        </r>
      </text>
    </comment>
    <comment ref="C8" authorId="0" shapeId="0" xr:uid="{00000000-0006-0000-0700-000003000000}">
      <text>
        <r>
          <rPr>
            <sz val="10"/>
            <color indexed="81"/>
            <rFont val="Arial"/>
            <family val="2"/>
          </rPr>
          <t>Requirement:  Use solar pool heating system 
Points:  Prerequisite – ONE of P1.01 – 1.04 is required</t>
        </r>
        <r>
          <rPr>
            <sz val="11"/>
            <color indexed="81"/>
            <rFont val="Arial"/>
            <family val="2"/>
          </rPr>
          <t xml:space="preserve">
Submittals:  Cut sheet or photo of heating system. </t>
        </r>
      </text>
    </comment>
    <comment ref="C9" authorId="1" shapeId="0" xr:uid="{00000000-0006-0000-0700-000004000000}">
      <text>
        <r>
          <rPr>
            <sz val="10"/>
            <color indexed="81"/>
            <rFont val="Tahoma"/>
            <family val="2"/>
          </rPr>
          <t>Requirement: Install the equivalent amount of photovoltaic panels necessary to power the pool equipment a minimum of 6 hours per day in the summer
Points:  Prerequisite – ONE of P1.01 – 1.04 is required</t>
        </r>
        <r>
          <rPr>
            <sz val="11"/>
            <color indexed="12"/>
            <rFont val="Tahoma"/>
            <family val="2"/>
          </rPr>
          <t xml:space="preserve">
</t>
        </r>
      </text>
    </comment>
    <comment ref="C13" authorId="0" shapeId="0" xr:uid="{00000000-0006-0000-0700-000005000000}">
      <text>
        <r>
          <rPr>
            <sz val="10"/>
            <color rgb="FF000000"/>
            <rFont val="Arial"/>
            <family val="2"/>
          </rPr>
          <t xml:space="preserve">Requirement:  75% of the property’s shoreline must be bordered by native aquatic plants.  
</t>
        </r>
        <r>
          <rPr>
            <sz val="10"/>
            <color rgb="FF000000"/>
            <rFont val="Arial"/>
            <family val="2"/>
          </rPr>
          <t xml:space="preserve">
</t>
        </r>
        <r>
          <rPr>
            <sz val="10"/>
            <color rgb="FF000000"/>
            <rFont val="Arial"/>
            <family val="2"/>
          </rPr>
          <t>Points: Prerequisite – ONE of P2.1 – 2.3 is required</t>
        </r>
        <r>
          <rPr>
            <sz val="11"/>
            <color rgb="FF000000"/>
            <rFont val="Arial"/>
            <family val="2"/>
          </rPr>
          <t xml:space="preserve">
</t>
        </r>
      </text>
    </comment>
    <comment ref="C14" authorId="0" shapeId="0" xr:uid="{00000000-0006-0000-0700-000006000000}">
      <text>
        <r>
          <rPr>
            <sz val="10"/>
            <color rgb="FF000000"/>
            <rFont val="Arial"/>
            <family val="2"/>
          </rPr>
          <t xml:space="preserve">Refer to Reference Guide:
</t>
        </r>
        <r>
          <rPr>
            <sz val="10"/>
            <color rgb="FF000000"/>
            <rFont val="Arial"/>
            <family val="2"/>
          </rPr>
          <t xml:space="preserve">
</t>
        </r>
        <r>
          <rPr>
            <sz val="10"/>
            <color rgb="FF000000"/>
            <rFont val="Arial"/>
            <family val="2"/>
          </rPr>
          <t xml:space="preserve">Requirement: No turf can be adjacent to natural water bodies.  A minimum 10-loot border of un-irrigated, site-appropriate plants is used. Choose a low-maintenance ground cover, or a mulched area with low maintenance plantings. 
</t>
        </r>
        <r>
          <rPr>
            <sz val="10"/>
            <color rgb="FF000000"/>
            <rFont val="Arial"/>
            <family val="2"/>
          </rPr>
          <t xml:space="preserve"> 
</t>
        </r>
        <r>
          <rPr>
            <sz val="10"/>
            <color rgb="FF000000"/>
            <rFont val="Arial"/>
            <family val="2"/>
          </rPr>
          <t>Points:   Prerequisite – ONE of P2.1 – 2.3 is required</t>
        </r>
      </text>
    </comment>
    <comment ref="C15" authorId="0" shapeId="0" xr:uid="{00000000-0006-0000-0700-000007000000}">
      <text>
        <r>
          <rPr>
            <sz val="10"/>
            <color indexed="81"/>
            <rFont val="Arial"/>
            <family val="2"/>
          </rPr>
          <t>Requirement:  Use terraces, swales, and berms that will slow storm water movement to the natural water body, protecting a minimum of 75% of the shoreline 
Points:   Prerequisite – ONE of P2.1 – 2.3 is required</t>
        </r>
        <r>
          <rPr>
            <sz val="11"/>
            <color indexed="81"/>
            <rFont val="Arial"/>
            <family val="2"/>
          </rPr>
          <t xml:space="preserve">
</t>
        </r>
      </text>
    </comment>
    <comment ref="C19" authorId="0" shapeId="0" xr:uid="{00000000-0006-0000-0700-000008000000}">
      <text>
        <r>
          <rPr>
            <sz val="10"/>
            <color rgb="FF000000"/>
            <rFont val="Arial"/>
            <family val="2"/>
          </rPr>
          <t xml:space="preserve">Requirement:  Reduce or eliminate use of class 1 exotic plants according to lot size. 
</t>
        </r>
        <r>
          <rPr>
            <sz val="10"/>
            <color rgb="FF000000"/>
            <rFont val="Arial"/>
            <family val="2"/>
          </rPr>
          <t xml:space="preserve">
</t>
        </r>
        <r>
          <rPr>
            <sz val="10"/>
            <color rgb="FF000000"/>
            <rFont val="Arial"/>
            <family val="2"/>
          </rPr>
          <t xml:space="preserve">Because trees provide shade to the lot and home and will not affect water conservation, established trees, 6” caliper or greater, that are listed as invasives may be left on the site, however, removal is encouraged.
</t>
        </r>
        <r>
          <rPr>
            <u/>
            <sz val="10"/>
            <color rgb="FF000000"/>
            <rFont val="Arial"/>
            <family val="2"/>
          </rPr>
          <t xml:space="preserve">
</t>
        </r>
        <r>
          <rPr>
            <u/>
            <sz val="10"/>
            <color rgb="FF000000"/>
            <rFont val="Arial"/>
            <family val="2"/>
          </rPr>
          <t>Lots Less Than 1/5 Acr</t>
        </r>
        <r>
          <rPr>
            <sz val="10"/>
            <color rgb="FF000000"/>
            <rFont val="Arial"/>
            <family val="2"/>
          </rPr>
          <t xml:space="preserve">e
</t>
        </r>
        <r>
          <rPr>
            <sz val="10"/>
            <color rgb="FF000000"/>
            <rFont val="Arial"/>
            <family val="2"/>
          </rPr>
          <t xml:space="preserve">No invasive class 1 exotic plants be located on sites/lots that are less than 1/5 acre, 
</t>
        </r>
        <r>
          <rPr>
            <sz val="10"/>
            <color rgb="FF000000"/>
            <rFont val="Arial"/>
            <family val="2"/>
          </rPr>
          <t xml:space="preserve">
</t>
        </r>
        <r>
          <rPr>
            <u/>
            <sz val="10"/>
            <color rgb="FF000000"/>
            <rFont val="Arial"/>
            <family val="2"/>
          </rPr>
          <t>Lots Greater Than 1/5 Acre</t>
        </r>
        <r>
          <rPr>
            <sz val="10"/>
            <color rgb="FF000000"/>
            <rFont val="Arial"/>
            <family val="2"/>
          </rPr>
          <t xml:space="preserve">
</t>
        </r>
        <r>
          <rPr>
            <sz val="10"/>
            <color rgb="FF000000"/>
            <rFont val="Arial"/>
            <family val="2"/>
          </rPr>
          <t xml:space="preserve">For lots greater than 1/5 acre, no class 1 exotic plants be located within 50 feet of the structure (foundation or conditioned space).  
</t>
        </r>
        <r>
          <rPr>
            <sz val="10"/>
            <color rgb="FF000000"/>
            <rFont val="Arial"/>
            <family val="2"/>
          </rPr>
          <t xml:space="preserve">
</t>
        </r>
        <r>
          <rPr>
            <sz val="10"/>
            <color rgb="FF000000"/>
            <rFont val="Arial"/>
            <family val="2"/>
          </rPr>
          <t>Points: Prerequisite - Required</t>
        </r>
        <r>
          <rPr>
            <sz val="11"/>
            <color rgb="FF000000"/>
            <rFont val="Arial"/>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Languell</author>
    <author>Danny</author>
    <author>Oscar Toledo</author>
  </authors>
  <commentList>
    <comment ref="D5" authorId="0" shapeId="0" xr:uid="{00000000-0006-0000-0800-000001000000}">
      <text>
        <r>
          <rPr>
            <sz val="10"/>
            <color rgb="FF000000"/>
            <rFont val="Arial"/>
            <family val="2"/>
          </rPr>
          <t xml:space="preserve">Requirement: 
</t>
        </r>
        <r>
          <rPr>
            <sz val="10"/>
            <color rgb="FF000000"/>
            <rFont val="Arial"/>
            <family val="2"/>
          </rPr>
          <t xml:space="preserve">Single Family: Energy Rater must provide a certified HERS index (showing an increase in efficiency over code).  The energy rater must be independent of the HERS Quality Assurance Control provider, i.e. a RESNET QAC provider cannot confirm its own employees’ energy ratings for FGBC projects.    
</t>
        </r>
        <r>
          <rPr>
            <sz val="10"/>
            <color rgb="FF000000"/>
            <rFont val="Arial"/>
            <family val="2"/>
          </rPr>
          <t xml:space="preserve">
</t>
        </r>
        <r>
          <rPr>
            <sz val="10"/>
            <color rgb="FF000000"/>
            <rFont val="Arial"/>
            <family val="2"/>
          </rPr>
          <t xml:space="preserve">Multi-family: If submitting as individual units, each unit must be submitted with a unit specific application and confirmed HERS Index. 
</t>
        </r>
        <r>
          <rPr>
            <sz val="10"/>
            <color rgb="FF000000"/>
            <rFont val="Arial"/>
            <family val="2"/>
          </rPr>
          <t xml:space="preserve">If submitting as a whole building, the weighted average of the Confirmed HERS may be used.  A confirmed HERS Index must be submitted for each unit however only 1 application is required for the building.  
</t>
        </r>
        <r>
          <rPr>
            <sz val="10"/>
            <color rgb="FF000000"/>
            <rFont val="Arial"/>
            <family val="2"/>
          </rPr>
          <t xml:space="preserve">
</t>
        </r>
        <r>
          <rPr>
            <sz val="10"/>
            <color rgb="FF000000"/>
            <rFont val="Arial"/>
            <family val="2"/>
          </rPr>
          <t xml:space="preserve">
</t>
        </r>
        <r>
          <rPr>
            <sz val="10"/>
            <color rgb="FF000000"/>
            <rFont val="Arial"/>
            <family val="2"/>
          </rPr>
          <t xml:space="preserve">
</t>
        </r>
        <r>
          <rPr>
            <sz val="10"/>
            <color rgb="FF000000"/>
            <rFont val="Arial"/>
            <family val="2"/>
          </rPr>
          <t xml:space="preserve">Points:
</t>
        </r>
        <r>
          <rPr>
            <sz val="10"/>
            <color rgb="FF000000"/>
            <rFont val="Arial"/>
            <family val="2"/>
          </rPr>
          <t xml:space="preserve">3 points for every confirmed HERS score below 80.
</t>
        </r>
        <r>
          <rPr>
            <sz val="10"/>
            <color rgb="FF000000"/>
            <rFont val="Arial"/>
            <family val="2"/>
          </rPr>
          <t xml:space="preserve">
</t>
        </r>
        <r>
          <rPr>
            <sz val="10"/>
            <color rgb="FF000000"/>
            <rFont val="Arial"/>
            <family val="2"/>
          </rPr>
          <t xml:space="preserve">
</t>
        </r>
      </text>
    </comment>
    <comment ref="E12" authorId="1" shapeId="0" xr:uid="{00000000-0006-0000-0800-000002000000}">
      <text>
        <r>
          <rPr>
            <sz val="9"/>
            <color rgb="FF000000"/>
            <rFont val="Tahoma"/>
            <family val="2"/>
          </rPr>
          <t>No point if you take the "Energy Star Certified Home"  credit in section G5.07</t>
        </r>
      </text>
    </comment>
    <comment ref="D13" authorId="2" shapeId="0" xr:uid="{00000000-0006-0000-0800-000003000000}">
      <text>
        <r>
          <rPr>
            <sz val="10"/>
            <color rgb="FF000000"/>
            <rFont val="Arial"/>
            <family val="2"/>
          </rPr>
          <t xml:space="preserve">Requirement:  All ductwork must be sealed with mastic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14" authorId="0" shapeId="0" xr:uid="{00000000-0006-0000-0800-000004000000}">
      <text>
        <r>
          <rPr>
            <sz val="10"/>
            <color rgb="FF000000"/>
            <rFont val="Arial"/>
            <family val="2"/>
          </rPr>
          <t xml:space="preserve">Requirement: AC Contractor or smoke testing personnel administer smoke test, identify leaks, and verify leaks are sealed.   Verify leaks are sealed by visual inspection.  Smoke identifies leaks visually.  Leaks are sealed when there is no more smoke coming from leaks.  AC contractor must be present to seal leaks.  Smoke testing protocol is as follows:
</t>
        </r>
        <r>
          <rPr>
            <sz val="10"/>
            <color rgb="FF000000"/>
            <rFont val="Arial"/>
            <family val="2"/>
          </rPr>
          <t xml:space="preserve">1. All boots are temporarily sealed by either the AC Contractor or smoke testing personnel.
</t>
        </r>
        <r>
          <rPr>
            <sz val="10"/>
            <color rgb="FF000000"/>
            <rFont val="Arial"/>
            <family val="2"/>
          </rPr>
          <t xml:space="preserve">2. Portable smoker or duct tester/fogger is connected to the supply and return sections of the duct work.  All dampers, if installed, to be verified open by AC Representative.
</t>
        </r>
        <r>
          <rPr>
            <sz val="10"/>
            <color rgb="FF000000"/>
            <rFont val="Arial"/>
            <family val="2"/>
          </rPr>
          <t xml:space="preserve">3. AC representative is present during smoke testing to seal observed leaks with approved materials.  
</t>
        </r>
        <r>
          <rPr>
            <sz val="10"/>
            <color rgb="FF000000"/>
            <rFont val="Arial"/>
            <family val="2"/>
          </rPr>
          <t xml:space="preserve">4. Smoke testing personnel note severity and location of leaks.
</t>
        </r>
        <r>
          <rPr>
            <sz val="10"/>
            <color rgb="FF000000"/>
            <rFont val="Arial"/>
            <family val="2"/>
          </rPr>
          <t xml:space="preserve">5. Smoke testing personnel verify that all leaks have been sealed at rough-in and supply certificate to client attesting to that fact with date and signature of the smoke tester.
</t>
        </r>
        <r>
          <rPr>
            <sz val="10"/>
            <color rgb="FF000000"/>
            <rFont val="Arial"/>
            <family val="2"/>
          </rPr>
          <t xml:space="preserve">
</t>
        </r>
        <r>
          <rPr>
            <sz val="10"/>
            <color rgb="FF000000"/>
            <rFont val="Arial"/>
            <family val="2"/>
          </rPr>
          <t>Points: 1</t>
        </r>
        <r>
          <rPr>
            <sz val="11"/>
            <color rgb="FF0000FF"/>
            <rFont val="Arial"/>
            <family val="2"/>
          </rPr>
          <t xml:space="preserve">
</t>
        </r>
      </text>
    </comment>
    <comment ref="D15" authorId="2" shapeId="0" xr:uid="{00000000-0006-0000-0800-000005000000}">
      <text>
        <r>
          <rPr>
            <sz val="10"/>
            <color rgb="FF000000"/>
            <rFont val="Arial"/>
            <family val="2"/>
          </rPr>
          <t xml:space="preserve">Requirement:  Install ceiling fans and incorporate cross ventilation in all primary/main living spaces and all bedrooms. To qualify, each bedroom and all primary living areas must have ceiling fans and a minimum of one window on at least two walls in each room.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16" authorId="2" shapeId="0" xr:uid="{00000000-0006-0000-0800-000006000000}">
      <text>
        <r>
          <rPr>
            <sz val="10"/>
            <color rgb="FF000000"/>
            <rFont val="Arial"/>
            <family val="2"/>
          </rPr>
          <t xml:space="preserve">Requirement:  The home must have a minimum of a 100 s.f. porch or outdoor living space that is covered and open either on 3 sides or on the 2 opposing sides to allow for ventilation.  The porch may be screened but not enclosed by solid walls or cabinetry between 1’6” and 6’8” above floor height. The open sides must not be blocked by walls or building projections within a distance of 3x the ceiling height.    
</t>
        </r>
        <r>
          <rPr>
            <sz val="10"/>
            <color rgb="FF000000"/>
            <rFont val="Arial"/>
            <family val="2"/>
          </rPr>
          <t xml:space="preserve">
</t>
        </r>
        <r>
          <rPr>
            <sz val="10"/>
            <color rgb="FF000000"/>
            <rFont val="Arial"/>
            <family val="2"/>
          </rPr>
          <t xml:space="preserve">Points: 1 
</t>
        </r>
      </text>
    </comment>
    <comment ref="D17" authorId="2" shapeId="0" xr:uid="{00000000-0006-0000-0800-000007000000}">
      <text>
        <r>
          <rPr>
            <sz val="10"/>
            <color rgb="FF000000"/>
            <rFont val="Arial"/>
            <family val="2"/>
          </rPr>
          <t xml:space="preserve">Requirement: Design home for passive solar heating such that the home incorporates 30 BTU/oF/ft2 of storage for every square foot of south-facing glass.  Credit not available for homes in the South Florida climate zone (as defined by the FL Dept of Economic Opportunity (www.floridajobs.org), which now administers DCA activities, - refer to the map below or check the home’s energy code compliance form). 
</t>
        </r>
        <r>
          <rPr>
            <sz val="10"/>
            <color rgb="FF000000"/>
            <rFont val="Arial"/>
            <family val="2"/>
          </rPr>
          <t xml:space="preserve">
</t>
        </r>
        <r>
          <rPr>
            <sz val="10"/>
            <color rgb="FF000000"/>
            <rFont val="Arial"/>
            <family val="2"/>
          </rPr>
          <t>Points: 1</t>
        </r>
      </text>
    </comment>
    <comment ref="D18" authorId="2" shapeId="0" xr:uid="{00000000-0006-0000-0800-000008000000}">
      <text>
        <r>
          <rPr>
            <sz val="10"/>
            <color rgb="FF000000"/>
            <rFont val="Arial"/>
            <family val="2"/>
          </rPr>
          <t xml:space="preserve">Requirement: Incorporate solar day lighting with clerestory windows, skylights that are energy star certified, or light/solar tubes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19" authorId="2" shapeId="0" xr:uid="{00000000-0006-0000-0800-000009000000}">
      <text>
        <r>
          <rPr>
            <sz val="10"/>
            <color rgb="FF000000"/>
            <rFont val="Arial"/>
            <family val="2"/>
          </rPr>
          <t xml:space="preserve">Requirement: Use shade trees to shade more than 75% of south elevation. Southern climate zones (map page 13 of Reference Guide), 75% must be shaded but trees do not need to be deciduous.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20" authorId="2" shapeId="0" xr:uid="{00000000-0006-0000-0800-00000A000000}">
      <text>
        <r>
          <rPr>
            <sz val="10"/>
            <color indexed="81"/>
            <rFont val="Arial"/>
            <family val="2"/>
          </rPr>
          <t>Requirement: 
Use trees to shade a minimum of 25% of the total wall area within 45</t>
        </r>
        <r>
          <rPr>
            <vertAlign val="superscript"/>
            <sz val="10"/>
            <color indexed="81"/>
            <rFont val="Arial"/>
            <family val="2"/>
          </rPr>
          <t>o</t>
        </r>
        <r>
          <rPr>
            <sz val="10"/>
            <color indexed="81"/>
            <rFont val="Arial"/>
            <family val="2"/>
          </rPr>
          <t xml:space="preserve"> of due east or west that separate the conditioned area from the outside (omit garage and porch walls). Observe amount of wall area under full shade during the summer or use a sunpath tool. If trees are immature, no extrapolations are to be made to their adult size.
Points: 
1 point for each 25% of shaded east and west wall area (averaged) </t>
        </r>
        <r>
          <rPr>
            <sz val="11"/>
            <color indexed="81"/>
            <rFont val="Arial"/>
            <family val="2"/>
          </rPr>
          <t xml:space="preserve">
</t>
        </r>
      </text>
    </comment>
    <comment ref="D22" authorId="2" shapeId="0" xr:uid="{00000000-0006-0000-0800-00000B000000}">
      <text>
        <r>
          <rPr>
            <sz val="10"/>
            <color rgb="FF000000"/>
            <rFont val="Arial"/>
            <family val="2"/>
          </rPr>
          <t xml:space="preserve">Requirement: Locate washer and dryer outside of conditioned space.
</t>
        </r>
        <r>
          <rPr>
            <sz val="10"/>
            <color rgb="FF000000"/>
            <rFont val="Arial"/>
            <family val="2"/>
          </rPr>
          <t xml:space="preserve">
</t>
        </r>
        <r>
          <rPr>
            <sz val="10"/>
            <color rgb="FF000000"/>
            <rFont val="Arial"/>
            <family val="2"/>
          </rPr>
          <t xml:space="preserve">The unconditioned utility room must meet the following requirements:
</t>
        </r>
        <r>
          <rPr>
            <sz val="10"/>
            <color rgb="FF000000"/>
            <rFont val="Arial"/>
            <family val="2"/>
          </rPr>
          <t xml:space="preserve">• Insulate the walls between the utility room and conditioned space (shared walls).
</t>
        </r>
        <r>
          <rPr>
            <sz val="10"/>
            <color rgb="FF000000"/>
            <rFont val="Arial"/>
            <family val="2"/>
          </rPr>
          <t xml:space="preserve">• Finish the shared walls and ceiling (if below conditioned space) with drywall.
</t>
        </r>
        <r>
          <rPr>
            <sz val="10"/>
            <color rgb="FF000000"/>
            <rFont val="Arial"/>
            <family val="2"/>
          </rPr>
          <t xml:space="preserve">• Seal all holes and air leakage pathways through the walls, floor, and ceiling that can connect the utility room to the conditioned space (plumbing, gas lines, wiring, and bottom plate).
</t>
        </r>
        <r>
          <rPr>
            <sz val="10"/>
            <color rgb="FF000000"/>
            <rFont val="Arial"/>
            <family val="2"/>
          </rPr>
          <t xml:space="preserve">• Install a non-louvered door that is weather-stripped and equipped with a properly adjusted threshold.
</t>
        </r>
        <r>
          <rPr>
            <sz val="10"/>
            <color rgb="FF000000"/>
            <rFont val="Arial"/>
            <family val="2"/>
          </rPr>
          <t xml:space="preserve">
</t>
        </r>
        <r>
          <rPr>
            <sz val="10"/>
            <color rgb="FF000000"/>
            <rFont val="Arial"/>
            <family val="2"/>
          </rPr>
          <t xml:space="preserve">Points: 
</t>
        </r>
        <r>
          <rPr>
            <sz val="10"/>
            <color rgb="FF000000"/>
            <rFont val="Arial"/>
            <family val="2"/>
          </rPr>
          <t xml:space="preserve">1 point awarded if this equipment is located outside of the conditioned space—garage, unconditioned utility room, etc.  The location must be separated from the main body of the home by an insulated wall.  </t>
        </r>
      </text>
    </comment>
    <comment ref="D23" authorId="2" shapeId="0" xr:uid="{00000000-0006-0000-0800-00000C000000}">
      <text>
        <r>
          <rPr>
            <sz val="10"/>
            <color rgb="FF000000"/>
            <rFont val="Arial"/>
            <family val="2"/>
          </rPr>
          <t xml:space="preserve">Requirement:  Insulate and seal around the perimeter of all framed floors. To receive this credit the home must be greater than 1 story.  
</t>
        </r>
        <r>
          <rPr>
            <sz val="10"/>
            <color rgb="FF000000"/>
            <rFont val="Arial"/>
            <family val="2"/>
          </rPr>
          <t xml:space="preserve">
</t>
        </r>
        <r>
          <rPr>
            <sz val="10"/>
            <color rgb="FF000000"/>
            <rFont val="Arial"/>
            <family val="2"/>
          </rPr>
          <t xml:space="preserve">Points: 1
</t>
        </r>
      </text>
    </comment>
    <comment ref="D24" authorId="2" shapeId="0" xr:uid="{00000000-0006-0000-0800-00000D000000}">
      <text>
        <r>
          <rPr>
            <sz val="10"/>
            <color rgb="FF000000"/>
            <rFont val="Arial"/>
            <family val="2"/>
          </rPr>
          <t xml:space="preserve">Requirement: 
</t>
        </r>
        <r>
          <rPr>
            <sz val="10"/>
            <color rgb="FF000000"/>
            <rFont val="Arial"/>
            <family val="2"/>
          </rPr>
          <t xml:space="preserve">At least 80% of the home’s exterior surfaces on the outside of conditioned space must have a finish such that the LRV &gt;= 60 for stucco and all painted finishes  and/or a Solar Reflective Index &gt;=29 for metal and vinyl.  If a documented reflectivity is not available, this credit can only be given to “white” or “off white”.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26" authorId="2" shapeId="0" xr:uid="{00000000-0006-0000-0800-00000E000000}">
      <text>
        <r>
          <rPr>
            <sz val="10"/>
            <color rgb="FF000000"/>
            <rFont val="Arial"/>
            <family val="2"/>
          </rPr>
          <t xml:space="preserve">Requirement:  
</t>
        </r>
        <r>
          <rPr>
            <sz val="10"/>
            <color rgb="FF000000"/>
            <rFont val="Arial"/>
            <family val="2"/>
          </rPr>
          <t xml:space="preserve">All bedrooms and all major living spaces in the home have light-colored wall and ceiling surfaces with a reflectance of at least 50%.  Bonus point awarded if all major living spaces and bedrooms have light colored flooring.  If a documented reflectivity is not available, this credit can only be given to “white” or “off white.”  
</t>
        </r>
        <r>
          <rPr>
            <sz val="10"/>
            <color rgb="FF000000"/>
            <rFont val="Arial"/>
            <family val="2"/>
          </rPr>
          <t xml:space="preserve">
</t>
        </r>
        <r>
          <rPr>
            <sz val="10"/>
            <color rgb="FF000000"/>
            <rFont val="Arial"/>
            <family val="2"/>
          </rPr>
          <t xml:space="preserve">Points:
</t>
        </r>
        <r>
          <rPr>
            <sz val="10"/>
            <color rgb="FF000000"/>
            <rFont val="Arial"/>
            <family val="2"/>
          </rPr>
          <t>1 point for walls and ceiling</t>
        </r>
        <r>
          <rPr>
            <sz val="11"/>
            <color rgb="FF000000"/>
            <rFont val="Arial"/>
            <family val="2"/>
          </rPr>
          <t xml:space="preserve">
</t>
        </r>
      </text>
    </comment>
    <comment ref="E28" authorId="1" shapeId="0" xr:uid="{00000000-0006-0000-0800-00000F000000}">
      <text>
        <r>
          <rPr>
            <sz val="9"/>
            <color rgb="FF000000"/>
            <rFont val="Tahoma"/>
            <family val="2"/>
          </rPr>
          <t xml:space="preserve">
</t>
        </r>
        <r>
          <rPr>
            <sz val="9"/>
            <color rgb="FF000000"/>
            <rFont val="Tahoma"/>
            <family val="2"/>
          </rPr>
          <t>A Light Reflectance Value or LRV, measures the total quantity of light reflected or absorbed by a surface, or the percent of light the paint color reflects. White will have a high LRV of 100 and black will have a low LRV of 0.  LRV of 50 or greater for this point.</t>
        </r>
      </text>
    </comment>
    <comment ref="E30" authorId="1" shapeId="0" xr:uid="{00000000-0006-0000-0800-000010000000}">
      <text>
        <r>
          <rPr>
            <b/>
            <sz val="9"/>
            <color rgb="FF000000"/>
            <rFont val="Tahoma"/>
            <family val="2"/>
          </rPr>
          <t xml:space="preserve">Bonus point for light color floor. Floors with a LRV of 50 or greater for this bonus point.
</t>
        </r>
      </text>
    </comment>
    <comment ref="D31" authorId="2" shapeId="0" xr:uid="{00000000-0006-0000-0800-000011000000}">
      <text>
        <r>
          <rPr>
            <sz val="10"/>
            <color rgb="FF000000"/>
            <rFont val="Arial"/>
            <family val="2"/>
          </rPr>
          <t xml:space="preserve">Requirement:  All bathroom light fixtures in the home are designed to use a maximum total of 52 watts.  A fixture as defined by FGBC is any amenity or system that uses lights and operates on a single switch.  These include items such as recessed cans, vanities, lights, mirror fixtures, etc. Multiple switches may be incorporated into the bathroom; however each switch must only activate52 watts of lighting total. Limit the number of bulbs per switch or use low wattage lighting such as compact fluorescent or LED.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32" authorId="2" shapeId="0" xr:uid="{00000000-0006-0000-0800-000012000000}">
      <text/>
    </comment>
    <comment ref="D33" authorId="2" shapeId="0" xr:uid="{00000000-0006-0000-0800-000013000000}">
      <text>
        <r>
          <rPr>
            <sz val="10"/>
            <color rgb="FF000000"/>
            <rFont val="Arial"/>
            <family val="2"/>
          </rPr>
          <t xml:space="preserve">Requirement: Install a properly sized State certified solar hot water system that has a solar fraction ≥ 0.5. Not available if E2.15 is claimed. 
</t>
        </r>
        <r>
          <rPr>
            <sz val="10"/>
            <color rgb="FF000000"/>
            <rFont val="Arial"/>
            <family val="2"/>
          </rPr>
          <t xml:space="preserve">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34" authorId="2" shapeId="0" xr:uid="{00000000-0006-0000-0800-000014000000}">
      <text>
        <r>
          <rPr>
            <sz val="10"/>
            <color rgb="FF000000"/>
            <rFont val="Arial"/>
            <family val="2"/>
          </rPr>
          <t xml:space="preserve">Requirement:  Insulate all hot water piping (including that which is buried) with a minimum of ½” insulation.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36" authorId="2" shapeId="0" xr:uid="{00000000-0006-0000-0800-000016000000}">
      <text>
        <r>
          <rPr>
            <sz val="10"/>
            <color rgb="FF000000"/>
            <rFont val="Arial"/>
            <family val="2"/>
          </rPr>
          <t xml:space="preserve">Requirement:  Install self-cleaning or pilotless gas ovens, and cook tops that are pilotless gas halogen, solid disk, radiant, or induction elements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38" authorId="2" shapeId="0" xr:uid="{00000000-0006-0000-0800-000018000000}">
      <text>
        <r>
          <rPr>
            <sz val="10"/>
            <color rgb="FF000000"/>
            <rFont val="Arial"/>
            <family val="2"/>
          </rPr>
          <t xml:space="preserve">Requirement:
</t>
        </r>
        <r>
          <rPr>
            <sz val="10"/>
            <color rgb="FF000000"/>
            <rFont val="Arial"/>
            <family val="34"/>
          </rPr>
          <t xml:space="preserve">Pools:  Install pool pump that is Energy Star, NEMA Premium or variable speed to service any installed pools and spas. 
</t>
        </r>
        <r>
          <rPr>
            <sz val="10"/>
            <color rgb="FF000000"/>
            <rFont val="Arial"/>
            <family val="34"/>
          </rPr>
          <t xml:space="preserve">Wells:  Install well pump that has supplied power at 220V, and the system contains a storage tank with a volume greater than 35 gallons.  Only homes whose potable water is served by a deep well are eligible for this point.  You may also receive a point if the pump is powered by photovoltaics.
</t>
        </r>
        <r>
          <rPr>
            <sz val="10"/>
            <color rgb="FF000000"/>
            <rFont val="Arial"/>
            <family val="2"/>
          </rPr>
          <t xml:space="preserve">
</t>
        </r>
        <r>
          <rPr>
            <sz val="10"/>
            <color rgb="FF000000"/>
            <rFont val="Arial"/>
            <family val="2"/>
          </rPr>
          <t xml:space="preserve">Points: 
</t>
        </r>
        <r>
          <rPr>
            <sz val="10"/>
            <color rgb="FF000000"/>
            <rFont val="Arial"/>
            <family val="2"/>
          </rPr>
          <t xml:space="preserve">1 point Efficient Well Pump
</t>
        </r>
        <r>
          <rPr>
            <sz val="10"/>
            <color rgb="FF000000"/>
            <rFont val="Arial"/>
            <family val="2"/>
          </rPr>
          <t xml:space="preserve">3 points Efficient Pool Pump
</t>
        </r>
        <r>
          <rPr>
            <sz val="10"/>
            <color rgb="FF000000"/>
            <rFont val="Arial"/>
            <family val="2"/>
          </rPr>
          <t xml:space="preserve">4 Points Both
</t>
        </r>
        <r>
          <rPr>
            <sz val="11"/>
            <color rgb="FF000000"/>
            <rFont val="Arial"/>
            <family val="2"/>
          </rPr>
          <t xml:space="preserve">
</t>
        </r>
      </text>
    </comment>
    <comment ref="D39" authorId="2" shapeId="0" xr:uid="{00000000-0006-0000-0800-000019000000}">
      <text>
        <r>
          <rPr>
            <sz val="10"/>
            <color rgb="FF000000"/>
            <rFont val="Arial"/>
            <family val="2"/>
          </rPr>
          <t xml:space="preserve">Requirement:
</t>
        </r>
        <r>
          <rPr>
            <sz val="10"/>
            <color rgb="FF000000"/>
            <rFont val="Arial"/>
            <family val="2"/>
          </rPr>
          <t xml:space="preserve">Design a home with minimal outside surface area such that the formula noted in the reference guide is less than 43. 
</t>
        </r>
        <r>
          <rPr>
            <sz val="10"/>
            <color rgb="FF000000"/>
            <rFont val="Arial"/>
            <family val="2"/>
          </rPr>
          <t xml:space="preserve">
</t>
        </r>
        <r>
          <rPr>
            <sz val="10"/>
            <color rgb="FF000000"/>
            <rFont val="Arial"/>
            <family val="2"/>
          </rPr>
          <t xml:space="preserve">Total gross wall area refers to the walls, windows and doors that separate the conditioned space from the non-conditioned space. 
</t>
        </r>
        <r>
          <rPr>
            <sz val="10"/>
            <color rgb="FF000000"/>
            <rFont val="Arial"/>
            <family val="2"/>
          </rPr>
          <t xml:space="preserve">
</t>
        </r>
        <r>
          <rPr>
            <sz val="10"/>
            <color rgb="FF000000"/>
            <rFont val="Arial"/>
            <family val="2"/>
          </rPr>
          <t>Points: 1</t>
        </r>
        <r>
          <rPr>
            <sz val="9"/>
            <color rgb="FF000000"/>
            <rFont val="Tahoma"/>
            <family val="2"/>
          </rPr>
          <t xml:space="preserve">
</t>
        </r>
      </text>
    </comment>
    <comment ref="D43" authorId="2" shapeId="0" xr:uid="{00000000-0006-0000-0800-00001A000000}">
      <text>
        <r>
          <rPr>
            <sz val="10"/>
            <color rgb="FF000000"/>
            <rFont val="Arial"/>
            <family val="2"/>
          </rPr>
          <t xml:space="preserve">Requirement:  
</t>
        </r>
        <r>
          <rPr>
            <sz val="10"/>
            <color rgb="FF000000"/>
            <rFont val="Arial"/>
            <family val="2"/>
          </rPr>
          <t xml:space="preserve">Attached unit or zero lot line, apartment, condo, or row house automatically qualify for the credit.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44" authorId="2" shapeId="0" xr:uid="{00000000-0006-0000-0800-00001B000000}">
      <text>
        <r>
          <rPr>
            <sz val="10"/>
            <color rgb="FF000000"/>
            <rFont val="Arial"/>
            <family val="2"/>
          </rPr>
          <t xml:space="preserve">Requirement:
</t>
        </r>
        <r>
          <rPr>
            <sz val="10"/>
            <color rgb="FF000000"/>
            <rFont val="Arial"/>
            <family val="2"/>
          </rPr>
          <t xml:space="preserve">No penetrations of the thermal building envelope.
</t>
        </r>
        <r>
          <rPr>
            <sz val="10"/>
            <color rgb="FF000000"/>
            <rFont val="Arial"/>
            <family val="2"/>
          </rPr>
          <t xml:space="preserve">
</t>
        </r>
        <r>
          <rPr>
            <sz val="10"/>
            <color rgb="FF000000"/>
            <rFont val="Arial"/>
            <family val="2"/>
          </rPr>
          <t xml:space="preserve">If recessed can lights are used, one point may be allowed if they are placed in a location that will not breach that envelope, i.e., into an unvented attic, ceiling of a lower floor, or soffit that is completely within the envelope. Ceiling mounted speakers also fall into this category.
</t>
        </r>
        <r>
          <rPr>
            <sz val="10"/>
            <color rgb="FF000000"/>
            <rFont val="Arial"/>
            <family val="2"/>
          </rPr>
          <t xml:space="preserve">
</t>
        </r>
        <r>
          <rPr>
            <sz val="10"/>
            <color rgb="FF000000"/>
            <rFont val="Arial"/>
            <family val="2"/>
          </rPr>
          <t xml:space="preserve">Points: 
</t>
        </r>
        <r>
          <rPr>
            <sz val="10"/>
            <color rgb="FF000000"/>
            <rFont val="Arial"/>
            <family val="2"/>
          </rPr>
          <t xml:space="preserve">1 point if no penetrations exist outside of the thermal envelope
</t>
        </r>
        <r>
          <rPr>
            <sz val="10"/>
            <color rgb="FF000000"/>
            <rFont val="Arial"/>
            <family val="2"/>
          </rPr>
          <t xml:space="preserve">2 points  no penetrations </t>
        </r>
        <r>
          <rPr>
            <sz val="11"/>
            <color rgb="FF000000"/>
            <rFont val="Arial"/>
            <family val="2"/>
          </rPr>
          <t xml:space="preserve">
</t>
        </r>
        <r>
          <rPr>
            <sz val="11"/>
            <color rgb="FF000000"/>
            <rFont val="Arial"/>
            <family val="2"/>
          </rPr>
          <t xml:space="preserve"> </t>
        </r>
      </text>
    </comment>
    <comment ref="D45" authorId="2" shapeId="0" xr:uid="{00000000-0006-0000-0800-00001C000000}">
      <text>
        <r>
          <rPr>
            <sz val="10"/>
            <color rgb="FF000000"/>
            <rFont val="Arial"/>
            <family val="2"/>
          </rPr>
          <t xml:space="preserve">Requirement:
</t>
        </r>
        <r>
          <rPr>
            <sz val="10"/>
            <color rgb="FF000000"/>
            <rFont val="Arial"/>
            <family val="2"/>
          </rPr>
          <t xml:space="preserve">Install an Energy Star ceiling fans.
</t>
        </r>
        <r>
          <rPr>
            <sz val="10"/>
            <color rgb="FF000000"/>
            <rFont val="Arial"/>
            <family val="2"/>
          </rPr>
          <t xml:space="preserve">
</t>
        </r>
        <r>
          <rPr>
            <sz val="10"/>
            <color rgb="FF000000"/>
            <rFont val="Arial"/>
            <family val="2"/>
          </rPr>
          <t>Points: 3</t>
        </r>
        <r>
          <rPr>
            <sz val="11"/>
            <color rgb="FF000000"/>
            <rFont val="Arial"/>
            <family val="2"/>
          </rPr>
          <t xml:space="preserve">
</t>
        </r>
      </text>
    </comment>
    <comment ref="D46" authorId="2" shapeId="0" xr:uid="{00000000-0006-0000-0800-00001D000000}">
      <text>
        <r>
          <rPr>
            <sz val="10"/>
            <color rgb="FF000000"/>
            <rFont val="Arial"/>
            <family val="2"/>
          </rPr>
          <t xml:space="preserve">Requirement: All installed exterior lights are low voltage, photovoltaic, fluorescent, or operate on motion sensors or timers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47" authorId="0" shapeId="0" xr:uid="{00000000-0006-0000-0800-00001E000000}">
      <text>
        <r>
          <rPr>
            <b/>
            <sz val="9"/>
            <color rgb="FF000000"/>
            <rFont val="Calibri"/>
            <family val="2"/>
          </rPr>
          <t xml:space="preserve">Requirement: Install motion sensors on a minimum of 60% of the hard wired interior lighting fistures.
</t>
        </r>
        <r>
          <rPr>
            <b/>
            <sz val="9"/>
            <color rgb="FF000000"/>
            <rFont val="Calibri"/>
            <family val="2"/>
          </rPr>
          <t xml:space="preserve">
</t>
        </r>
        <r>
          <rPr>
            <b/>
            <sz val="9"/>
            <color rgb="FF000000"/>
            <rFont val="Calibri"/>
            <family val="2"/>
          </rPr>
          <t>Points: 1</t>
        </r>
      </text>
    </comment>
    <comment ref="D48" authorId="0" shapeId="0" xr:uid="{00000000-0006-0000-0800-00001F000000}">
      <text>
        <r>
          <rPr>
            <b/>
            <sz val="9"/>
            <color rgb="FF000000"/>
            <rFont val="Calibri"/>
            <family val="2"/>
          </rPr>
          <t>Requirement:</t>
        </r>
        <r>
          <rPr>
            <sz val="9"/>
            <color rgb="FF000000"/>
            <rFont val="Calibri"/>
            <family val="2"/>
          </rPr>
          <t xml:space="preserve"> The frame portion of the home is sheathed with a product where all seams are taped or a vertical sheathing product that: 
</t>
        </r>
        <r>
          <rPr>
            <sz val="9"/>
            <color rgb="FF000000"/>
            <rFont val="Calibri"/>
            <family val="2"/>
          </rPr>
          <t xml:space="preserve">1. Eliminates horizontal seams and
</t>
        </r>
        <r>
          <rPr>
            <sz val="9"/>
            <color rgb="FF000000"/>
            <rFont val="Calibri"/>
            <family val="2"/>
          </rPr>
          <t xml:space="preserve">2. Requires all vertical seams to occur over studs. </t>
        </r>
        <r>
          <rPr>
            <b/>
            <sz val="9"/>
            <color rgb="FF000000"/>
            <rFont val="Calibri"/>
            <family val="2"/>
          </rPr>
          <t xml:space="preserve">
</t>
        </r>
        <r>
          <rPr>
            <b/>
            <sz val="9"/>
            <color rgb="FF000000"/>
            <rFont val="Calibri"/>
            <family val="2"/>
          </rPr>
          <t xml:space="preserve">
</t>
        </r>
        <r>
          <rPr>
            <b/>
            <sz val="9"/>
            <color rgb="FF000000"/>
            <rFont val="Calibri"/>
            <family val="2"/>
          </rPr>
          <t xml:space="preserve">Points: 1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Oscar Toledo</author>
    <author>OToledo</author>
    <author>Jennifer Languell</author>
    <author>Julia</author>
    <author>Microsoft Office User</author>
  </authors>
  <commentList>
    <comment ref="D6" authorId="0" shapeId="0" xr:uid="{00000000-0006-0000-0900-000001000000}">
      <text>
        <r>
          <rPr>
            <sz val="10"/>
            <color indexed="81"/>
            <rFont val="Arial"/>
            <family val="2"/>
          </rPr>
          <t>Requirement: 
Clothes washer Energy Star qualified or has an Integrated Water Factor (IWF) ≤ 4.3 (top load), IWF ≤ 3.7 (front load), IWF ≤ 4.2 (washers ≤ 2.5 cubic feet (CF)).  
Multi-Family: Include this point if each individual unit has a water saving clothes washer OR if the central laundry facility is on site and includes water saving clothes washers. 
Points: 3
Submittals: 
Photo or cut sheet for each appliance showing,  A) Energy Star compliance for WF of 6, or B) documentation of WF if not Energy Star qualified and/or if claiming WF of 4 or less.</t>
        </r>
      </text>
    </comment>
    <comment ref="D7" authorId="1" shapeId="0" xr:uid="{00000000-0006-0000-0900-000002000000}">
      <text>
        <r>
          <rPr>
            <sz val="10"/>
            <color indexed="81"/>
            <rFont val="Arial"/>
            <family val="2"/>
          </rPr>
          <t xml:space="preserve">Requirement:  
All installed showerheads must have a flow rate ≤ 2.0 gallons per minute (gpm).  Note, if there are two showerheads in the master that DO NOT operate simultaneously the point may still be awarded. 
Points: 1
</t>
        </r>
        <r>
          <rPr>
            <sz val="11"/>
            <color indexed="81"/>
            <rFont val="Arial"/>
            <family val="2"/>
          </rPr>
          <t xml:space="preserve">
Submittals:
 Photo of packaging, photo of flow rate indicated on the showerhead, or cut sheet of product indicating flow rate and/or WaterSense label.</t>
        </r>
        <r>
          <rPr>
            <sz val="9"/>
            <color indexed="81"/>
            <rFont val="Tahoma"/>
            <family val="2"/>
          </rPr>
          <t xml:space="preserve">
</t>
        </r>
      </text>
    </comment>
    <comment ref="D8" authorId="1" shapeId="0" xr:uid="{00000000-0006-0000-0900-000003000000}">
      <text>
        <r>
          <rPr>
            <sz val="11"/>
            <color indexed="81"/>
            <rFont val="Arial"/>
            <family val="2"/>
          </rPr>
          <t xml:space="preserve">Requirement:  
A maximum of one shower head is allowed per 15 sf of shower compartment.  
Points: 1 
Submittals:
 Photo of each shower showing showerhead.
</t>
        </r>
      </text>
    </comment>
    <comment ref="D9" authorId="2" shapeId="0" xr:uid="{00000000-0006-0000-0900-000004000000}">
      <text>
        <r>
          <rPr>
            <sz val="10"/>
            <color indexed="81"/>
            <rFont val="Arial"/>
            <family val="2"/>
          </rPr>
          <t xml:space="preserve">Requirement: 
All lavatory sink faucets have flow rates of 1.5 gpm or less. Additional points are available if all lavatory sink faucets have a flow rate of 1.0 gpm or less.
Points: 
1 point: All lavatory sink faucet flow rates are 1.5 gpm or less.
2 points: All lavatory sink faucet flow rates are 1.0 gpm or less.  </t>
        </r>
        <r>
          <rPr>
            <sz val="10"/>
            <color indexed="12"/>
            <rFont val="Arial"/>
            <family val="2"/>
          </rPr>
          <t xml:space="preserve">
</t>
        </r>
      </text>
    </comment>
    <comment ref="D10" authorId="1" shapeId="0" xr:uid="{00000000-0006-0000-0900-000005000000}">
      <text>
        <r>
          <rPr>
            <sz val="10"/>
            <color indexed="81"/>
            <rFont val="Arial"/>
            <family val="2"/>
          </rPr>
          <t>Requirement:
 All Water Closets (WC) installed in the home flush at volumes less than or equal to 1.28 gallons per flush (gpf).
Points: 
 2 points if all WC are ≤ 1.28 gpf or dual flush 
 3 points if all WC are ≤ 1.1 gpf</t>
        </r>
        <r>
          <rPr>
            <sz val="11"/>
            <color indexed="81"/>
            <rFont val="Arial"/>
            <family val="2"/>
          </rPr>
          <t xml:space="preserve">
Submittals: Cut sheet for toilet</t>
        </r>
      </text>
    </comment>
    <comment ref="D11" authorId="1" shapeId="0" xr:uid="{00000000-0006-0000-0900-000006000000}">
      <text>
        <r>
          <rPr>
            <sz val="10"/>
            <color rgb="FF000000"/>
            <rFont val="Arial"/>
            <family val="2"/>
          </rPr>
          <t xml:space="preserve">Requirement:  
</t>
        </r>
        <r>
          <rPr>
            <sz val="10"/>
            <color rgb="FF000000"/>
            <rFont val="Arial"/>
            <family val="2"/>
          </rPr>
          <t xml:space="preserve">All Installed toilets have a MaP rating of 600 grams per flush or greater 
</t>
        </r>
        <r>
          <rPr>
            <sz val="10"/>
            <color rgb="FF000000"/>
            <rFont val="Arial"/>
            <family val="2"/>
          </rPr>
          <t xml:space="preserve">
</t>
        </r>
        <r>
          <rPr>
            <sz val="10"/>
            <color rgb="FF000000"/>
            <rFont val="Arial"/>
            <family val="2"/>
          </rPr>
          <t xml:space="preserve">Points: 1
</t>
        </r>
        <r>
          <rPr>
            <sz val="10"/>
            <color rgb="FF000000"/>
            <rFont val="Arial"/>
            <family val="2"/>
          </rPr>
          <t>Submittals: Plumbing plan.</t>
        </r>
      </text>
    </comment>
    <comment ref="D12" authorId="1" shapeId="0" xr:uid="{00000000-0006-0000-0900-000007000000}">
      <text>
        <r>
          <rPr>
            <sz val="10"/>
            <color rgb="FF000000"/>
            <rFont val="Arial"/>
            <family val="2"/>
          </rPr>
          <t xml:space="preserve">Requirement:  
</t>
        </r>
        <r>
          <rPr>
            <sz val="10"/>
            <color rgb="FF000000"/>
            <rFont val="Arial"/>
            <family val="2"/>
          </rPr>
          <t xml:space="preserve">Install compact hot water distribution system. For a conventional system, no branch line from the water heater to any fixture may exceed 25 feet in one-story homes. Add 1x the ceiling height for two story homes, and add 2x the ceiling height for three or four story homes. Branch lines from the central heater to each fixture must be a maximum of ½-inch diameter.  One point is also available for use of a manifold system, or for use of a recirculation loop with an on demand control with auto pump shut-off in the kitchen and each full bathroom.  
</t>
        </r>
        <r>
          <rPr>
            <sz val="10"/>
            <color rgb="FF000000"/>
            <rFont val="Arial"/>
            <family val="2"/>
          </rPr>
          <t xml:space="preserve">
</t>
        </r>
        <r>
          <rPr>
            <sz val="10"/>
            <color rgb="FF000000"/>
            <rFont val="Arial"/>
            <family val="2"/>
          </rPr>
          <t xml:space="preserve">Points: 1 
</t>
        </r>
        <r>
          <rPr>
            <sz val="10"/>
            <color rgb="FF000000"/>
            <rFont val="Arial"/>
            <family val="2"/>
          </rPr>
          <t xml:space="preserve">
</t>
        </r>
        <r>
          <rPr>
            <sz val="10"/>
            <color rgb="FF000000"/>
            <rFont val="Arial"/>
            <family val="2"/>
          </rPr>
          <t xml:space="preserve">Intent: By centrally locating the water heater, heat losses can be reduced by minimizing piping runs.  Heat losses can also be minimized by installing an on-demand circulation loop, or by installing a manifold system with individual small diameter water lines dedicated to each fixture.  
</t>
        </r>
        <r>
          <rPr>
            <sz val="10"/>
            <color rgb="FF000000"/>
            <rFont val="Arial"/>
            <family val="2"/>
          </rPr>
          <t xml:space="preserve">
</t>
        </r>
        <r>
          <rPr>
            <sz val="10"/>
            <color rgb="FF000000"/>
            <rFont val="Arial"/>
            <family val="2"/>
          </rPr>
          <t xml:space="preserve">Submittals: Plumbing plan.
</t>
        </r>
      </text>
    </comment>
    <comment ref="D15" authorId="1" shapeId="0" xr:uid="{00000000-0006-0000-0900-000008000000}">
      <text>
        <r>
          <rPr>
            <sz val="10"/>
            <color rgb="FF000000"/>
            <rFont val="Arial"/>
            <family val="2"/>
          </rPr>
          <t xml:space="preserve">Requirement: 
</t>
        </r>
        <r>
          <rPr>
            <sz val="10"/>
            <color rgb="FF000000"/>
            <rFont val="Arial"/>
            <family val="2"/>
          </rPr>
          <t xml:space="preserve">Install greywater system that disperses water from laundry, shower/bath, faucets or dishwasher to the landscape
</t>
        </r>
        <r>
          <rPr>
            <sz val="10"/>
            <color rgb="FF000000"/>
            <rFont val="Arial"/>
            <family val="2"/>
          </rPr>
          <t xml:space="preserve">
</t>
        </r>
        <r>
          <rPr>
            <sz val="10"/>
            <color rgb="FF000000"/>
            <rFont val="Arial"/>
            <family val="2"/>
          </rPr>
          <t xml:space="preserve">1 point is available for a preplumbed partial or full system
</t>
        </r>
        <r>
          <rPr>
            <sz val="10"/>
            <color rgb="FF000000"/>
            <rFont val="Arial"/>
            <family val="2"/>
          </rPr>
          <t xml:space="preserve">
</t>
        </r>
        <r>
          <rPr>
            <sz val="10"/>
            <color rgb="FF000000"/>
            <rFont val="Arial"/>
            <family val="2"/>
          </rPr>
          <t xml:space="preserve">1 point is available if the air conditioner condensate is reused
</t>
        </r>
        <r>
          <rPr>
            <sz val="10"/>
            <color rgb="FF000000"/>
            <rFont val="Arial"/>
            <family val="2"/>
          </rPr>
          <t xml:space="preserve">
</t>
        </r>
        <r>
          <rPr>
            <sz val="10"/>
            <color rgb="FF000000"/>
            <rFont val="Arial"/>
            <family val="2"/>
          </rPr>
          <t xml:space="preserve">2 points are available if a vanity water collection system is installed for toilet flushing
</t>
        </r>
        <r>
          <rPr>
            <sz val="10"/>
            <color rgb="FF000000"/>
            <rFont val="Arial"/>
            <family val="2"/>
          </rPr>
          <t xml:space="preserve">
</t>
        </r>
        <r>
          <rPr>
            <sz val="10"/>
            <color rgb="FF000000"/>
            <rFont val="Arial"/>
            <family val="2"/>
          </rPr>
          <t xml:space="preserve">3 points are available if a Whole house greywater system is installed
</t>
        </r>
        <r>
          <rPr>
            <sz val="11"/>
            <color rgb="FF000000"/>
            <rFont val="Arial"/>
            <family val="2"/>
          </rPr>
          <t xml:space="preserve">
</t>
        </r>
        <r>
          <rPr>
            <sz val="9"/>
            <color rgb="FF000000"/>
            <rFont val="Tahoma"/>
            <family val="2"/>
          </rPr>
          <t xml:space="preserve">
</t>
        </r>
        <r>
          <rPr>
            <sz val="9"/>
            <color rgb="FF000000"/>
            <rFont val="Tahoma"/>
            <family val="2"/>
          </rPr>
          <t xml:space="preserve">Submittals:  Required -Pre-slab photos or schematic of system design </t>
        </r>
      </text>
    </comment>
    <comment ref="D18" authorId="2" shapeId="0" xr:uid="{00000000-0006-0000-0900-000009000000}">
      <text>
        <r>
          <rPr>
            <sz val="10"/>
            <color rgb="FF000000"/>
            <rFont val="Arial"/>
            <family val="2"/>
          </rPr>
          <t xml:space="preserve">Requirement:  </t>
        </r>
        <r>
          <rPr>
            <sz val="10"/>
            <color rgb="FF000000"/>
            <rFont val="Calibri"/>
            <family val="2"/>
          </rPr>
          <t xml:space="preserve">Installed collection and storage system with a dedicated indoor or outdoor use.  For non potable system, install a rain barrel or system with 500 gallons of storage capacity for irrigation.  For potable systems, install a 500 or 2,500 gallon capacity system.  Potable systems must have a certified potable filtration system installed, design must be approved, inspected and certified by ACSCA/ASE. 
</t>
        </r>
        <r>
          <rPr>
            <sz val="10"/>
            <color rgb="FF000000"/>
            <rFont val="Arial"/>
            <family val="2"/>
          </rPr>
          <t xml:space="preserve">
</t>
        </r>
        <r>
          <rPr>
            <sz val="10"/>
            <color rgb="FF000000"/>
            <rFont val="Arial"/>
            <family val="2"/>
          </rPr>
          <t xml:space="preserve">1 Point:  Rain Barrel
</t>
        </r>
        <r>
          <rPr>
            <sz val="10"/>
            <color rgb="FF000000"/>
            <rFont val="Arial"/>
            <family val="2"/>
          </rPr>
          <t xml:space="preserve">2 Points:  Non Potable 500 Gallon System
</t>
        </r>
        <r>
          <rPr>
            <sz val="10"/>
            <color rgb="FF000000"/>
            <rFont val="Arial"/>
            <family val="2"/>
          </rPr>
          <t xml:space="preserve">3 Points:  Potable 500 Gallon System
</t>
        </r>
        <r>
          <rPr>
            <sz val="10"/>
            <color rgb="FF000000"/>
            <rFont val="Arial"/>
            <family val="2"/>
          </rPr>
          <t>5 Points:  Potable 2,500 Gallon System</t>
        </r>
      </text>
    </comment>
    <comment ref="D21" authorId="1" shapeId="0" xr:uid="{00000000-0006-0000-0900-00000A000000}">
      <text>
        <r>
          <rPr>
            <sz val="10"/>
            <color rgb="FF000000"/>
            <rFont val="Arial"/>
            <family val="2"/>
          </rPr>
          <t xml:space="preserve">Requirement: 
</t>
        </r>
        <r>
          <rPr>
            <sz val="10"/>
            <color rgb="FF000000"/>
            <rFont val="Arial"/>
            <family val="2"/>
          </rPr>
          <t xml:space="preserve">Use reclaimed water for the home’s irrigation needs.  Non potable water used for irrigation that does not come from a natural body of water or a well may also qualify for this credit.  
</t>
        </r>
        <r>
          <rPr>
            <sz val="10"/>
            <color rgb="FF000000"/>
            <rFont val="Arial"/>
            <family val="2"/>
          </rPr>
          <t xml:space="preserve">
</t>
        </r>
        <r>
          <rPr>
            <sz val="10"/>
            <color rgb="FF000000"/>
            <rFont val="Arial"/>
            <family val="2"/>
          </rPr>
          <t xml:space="preserve">Points:
</t>
        </r>
        <r>
          <rPr>
            <sz val="10"/>
            <color rgb="FF000000"/>
            <rFont val="Arial"/>
            <family val="2"/>
          </rPr>
          <t xml:space="preserve">1 point -  partial irrigation supplied by reuse
</t>
        </r>
        <r>
          <rPr>
            <sz val="10"/>
            <color rgb="FF000000"/>
            <rFont val="Arial"/>
            <family val="2"/>
          </rPr>
          <t xml:space="preserve">
</t>
        </r>
        <r>
          <rPr>
            <sz val="10"/>
            <color rgb="FF000000"/>
            <rFont val="Arial"/>
            <family val="2"/>
          </rPr>
          <t xml:space="preserve">2 points -  all of the irrigation is supplied by reuse 
</t>
        </r>
      </text>
    </comment>
    <comment ref="D22" authorId="1" shapeId="0" xr:uid="{00000000-0006-0000-0900-00000B000000}">
      <text>
        <r>
          <rPr>
            <sz val="10"/>
            <color indexed="81"/>
            <rFont val="Arial"/>
            <family val="2"/>
          </rPr>
          <t>Requirement:  
Meter must be installed on the reclaimed water use for the home
Points:  1</t>
        </r>
        <r>
          <rPr>
            <sz val="11"/>
            <color indexed="81"/>
            <rFont val="Arial"/>
            <family val="2"/>
          </rPr>
          <t xml:space="preserve">
</t>
        </r>
        <r>
          <rPr>
            <sz val="9"/>
            <color indexed="81"/>
            <rFont val="Tahoma"/>
            <family val="2"/>
          </rPr>
          <t xml:space="preserve">
</t>
        </r>
      </text>
    </comment>
    <comment ref="D23" authorId="1" shapeId="0" xr:uid="{00000000-0006-0000-0900-00000C000000}">
      <text>
        <r>
          <rPr>
            <sz val="10"/>
            <color rgb="FF000000"/>
            <rFont val="Arial"/>
            <family val="2"/>
          </rPr>
          <t xml:space="preserve">Requirement:  
</t>
        </r>
        <r>
          <rPr>
            <sz val="10"/>
            <color rgb="FF000000"/>
            <rFont val="Arial"/>
            <family val="2"/>
          </rPr>
          <t xml:space="preserve">Base pricing for reclaimed water such that increased use, volume, results in increased fees per unit.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24" authorId="1" shapeId="0" xr:uid="{00000000-0006-0000-0900-00000D000000}">
      <text>
        <r>
          <rPr>
            <sz val="10"/>
            <color rgb="FF000000"/>
            <rFont val="Arial"/>
            <family val="2"/>
          </rPr>
          <t xml:space="preserve">Requirement: Use reclaimed water to flush toilets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27" authorId="1" shapeId="0" xr:uid="{00000000-0006-0000-0900-00000E000000}">
      <text>
        <r>
          <rPr>
            <sz val="10"/>
            <color rgb="FF000000"/>
            <rFont val="Arial"/>
            <family val="2"/>
          </rPr>
          <t xml:space="preserve">Requirement: 
</t>
        </r>
        <r>
          <rPr>
            <sz val="10"/>
            <color rgb="FF000000"/>
            <rFont val="Arial"/>
            <family val="2"/>
          </rPr>
          <t xml:space="preserve"> All installed turf is drought tolerant, which is limited to Bahia, Zoysia or Bermuda. 
</t>
        </r>
        <r>
          <rPr>
            <sz val="10"/>
            <color rgb="FF000000"/>
            <rFont val="Arial"/>
            <family val="2"/>
          </rPr>
          <t xml:space="preserve">
</t>
        </r>
        <r>
          <rPr>
            <sz val="10"/>
            <color rgb="FF000000"/>
            <rFont val="Arial"/>
            <family val="2"/>
          </rPr>
          <t xml:space="preserve">Points:
</t>
        </r>
        <r>
          <rPr>
            <sz val="10"/>
            <color rgb="FF000000"/>
            <rFont val="Arial"/>
            <family val="2"/>
          </rPr>
          <t xml:space="preserve"> 2 – Drought tolerant turf 
</t>
        </r>
        <r>
          <rPr>
            <sz val="10"/>
            <color rgb="FF000000"/>
            <rFont val="Arial"/>
            <family val="2"/>
          </rPr>
          <t xml:space="preserve"> 3 – No turf
</t>
        </r>
      </text>
    </comment>
    <comment ref="D28" authorId="1" shapeId="0" xr:uid="{00000000-0006-0000-0900-00000F000000}">
      <text>
        <r>
          <rPr>
            <sz val="10"/>
            <color rgb="FF000000"/>
            <rFont val="Arial"/>
            <family val="2"/>
          </rPr>
          <t xml:space="preserve">Requirement:  Use of at least 60% of the plants and trees incorporated into the landscape are from a local drought tolerant list; A minimum of 12 total plants must be present in the landscape to qualify for the credit.
</t>
        </r>
        <r>
          <rPr>
            <sz val="10"/>
            <color rgb="FF000000"/>
            <rFont val="Arial"/>
            <family val="2"/>
          </rPr>
          <t xml:space="preserve">
</t>
        </r>
        <r>
          <rPr>
            <sz val="10"/>
            <color rgb="FF000000"/>
            <rFont val="Arial"/>
            <family val="2"/>
          </rPr>
          <t xml:space="preserve">Points:
</t>
        </r>
        <r>
          <rPr>
            <sz val="10"/>
            <color rgb="FF000000"/>
            <rFont val="Arial"/>
            <family val="2"/>
          </rPr>
          <t xml:space="preserve">1 - at least 60% drought tolerant
</t>
        </r>
        <r>
          <rPr>
            <sz val="10"/>
            <color rgb="FF000000"/>
            <rFont val="Arial"/>
            <family val="2"/>
          </rPr>
          <t xml:space="preserve">2 - at least 80% drought tolerant
</t>
        </r>
        <r>
          <rPr>
            <sz val="10"/>
            <color rgb="FF000000"/>
            <rFont val="Arial"/>
            <family val="2"/>
          </rPr>
          <t xml:space="preserve">3 - 100% drought tolerant </t>
        </r>
        <r>
          <rPr>
            <sz val="12"/>
            <color rgb="FF000000"/>
            <rFont val="Arial"/>
            <family val="2"/>
          </rPr>
          <t xml:space="preserve">
</t>
        </r>
        <r>
          <rPr>
            <sz val="10"/>
            <color rgb="FF000000"/>
            <rFont val="Arial"/>
            <family val="2"/>
          </rPr>
          <t xml:space="preserve">
</t>
        </r>
        <r>
          <rPr>
            <sz val="10"/>
            <color rgb="FF000000"/>
            <rFont val="Arial"/>
            <family val="2"/>
          </rPr>
          <t xml:space="preserve">Submittals:  Existing Landscape – Requires landscape inspection by an FY&amp;N, Master Gardener, Florida Water Star Certifier, or other approved professional.
</t>
        </r>
      </text>
    </comment>
    <comment ref="D30" authorId="1" shapeId="0" xr:uid="{00000000-0006-0000-0900-000010000000}">
      <text>
        <r>
          <rPr>
            <sz val="10"/>
            <color rgb="FF000000"/>
            <rFont val="Arial"/>
            <family val="2"/>
          </rPr>
          <t xml:space="preserve">Requirement:  All plants (including shrubs, groundcovers, vines and trees) are compatible with their location in the landscape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31" authorId="1" shapeId="0" xr:uid="{00000000-0006-0000-0900-000011000000}">
      <text>
        <r>
          <rPr>
            <sz val="10"/>
            <color rgb="FF000000"/>
            <rFont val="Arial"/>
            <family val="2"/>
          </rPr>
          <t xml:space="preserve">Requirement:  Turf is installed on less than 50% of landscape
</t>
        </r>
        <r>
          <rPr>
            <sz val="10"/>
            <color rgb="FF000000"/>
            <rFont val="Arial"/>
            <family val="2"/>
          </rPr>
          <t xml:space="preserve">
</t>
        </r>
        <r>
          <rPr>
            <sz val="10"/>
            <color rgb="FF000000"/>
            <rFont val="Arial"/>
            <family val="2"/>
          </rPr>
          <t xml:space="preserve">Points: 3 </t>
        </r>
        <r>
          <rPr>
            <sz val="11"/>
            <color rgb="FF000000"/>
            <rFont val="Arial"/>
            <family val="2"/>
          </rPr>
          <t xml:space="preserve">
</t>
        </r>
      </text>
    </comment>
    <comment ref="D32" authorId="1" shapeId="0" xr:uid="{00000000-0006-0000-0900-000012000000}">
      <text>
        <r>
          <rPr>
            <sz val="10"/>
            <color rgb="FF000000"/>
            <rFont val="Arial"/>
            <family val="2"/>
          </rPr>
          <t xml:space="preserve">Requirement: No turf installed in areas receiving less than 5 hours of sunlight a day such as, northwest areas, deep shade under canopy trees, and areas between homes on zero-lot lines.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33" authorId="1" shapeId="0" xr:uid="{00000000-0006-0000-0900-000013000000}">
      <text>
        <r>
          <rPr>
            <sz val="10"/>
            <color rgb="FF000000"/>
            <rFont val="Arial"/>
            <family val="2"/>
          </rPr>
          <t xml:space="preserve">Requirement:  Landscape is planned and installed with respect for the amount of sun hitting the various areas of the lot.  Plants that prefer similar sun and water requirements are grouped together in the appropriate areas of landscape.  For example, because the foundation plants on teh north side of the home will be in the shade, plants that thrive in little to no sunlight and would share similar water requirements shoudl be chosen for this location.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34" authorId="1" shapeId="0" xr:uid="{00000000-0006-0000-0900-000014000000}">
      <text>
        <r>
          <rPr>
            <sz val="10"/>
            <color rgb="FF000000"/>
            <rFont val="Arial"/>
            <family val="2"/>
          </rPr>
          <t xml:space="preserve">Requirement:  Apply 3-4” of mulch around plants and trees (extending out to drip line) and in landscaped beds avoiding volcano mulching.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35" authorId="1" shapeId="0" xr:uid="{00000000-0006-0000-0900-000015000000}">
      <text>
        <r>
          <rPr>
            <sz val="10"/>
            <color rgb="FF000000"/>
            <rFont val="Arial"/>
            <family val="2"/>
          </rPr>
          <t xml:space="preserve">Requirement:  Mulch installed in the project is non-cypress mulch, the following alternatives are acceptable:  melaleuca, pine straw, pine bark, recycled, and eucalyptus.  Note that Brazillian Pepper, Australian pine, and palms should not be used and will not be awarded credit.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9"/>
            <color rgb="FF000000"/>
            <rFont val="Tahoma"/>
            <family val="2"/>
          </rPr>
          <t xml:space="preserve">
</t>
        </r>
      </text>
    </comment>
    <comment ref="D36" authorId="1" shapeId="0" xr:uid="{00000000-0006-0000-0900-000016000000}">
      <text>
        <r>
          <rPr>
            <sz val="10"/>
            <color rgb="FF000000"/>
            <rFont val="Arial"/>
            <family val="2"/>
          </rPr>
          <t xml:space="preserve">Requirement:  
</t>
        </r>
        <r>
          <rPr>
            <sz val="10"/>
            <color rgb="FF000000"/>
            <rFont val="Arial"/>
            <family val="2"/>
          </rPr>
          <t xml:space="preserve">For highly permeable soil, appropriately test and amend where necessary.   Testing includes pH, lime requirements, soil fertility, and water infiltration to show that amendment is necessary and type of amendment chosen.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39" authorId="1" shapeId="0" xr:uid="{00000000-0006-0000-0900-000017000000}">
      <text>
        <r>
          <rPr>
            <sz val="10"/>
            <color rgb="FF000000"/>
            <rFont val="Arial"/>
            <family val="2"/>
          </rPr>
          <t xml:space="preserve">Requirement:  Site has no permanent in-ground irrigation, regardless of size.
</t>
        </r>
        <r>
          <rPr>
            <sz val="10"/>
            <color rgb="FF000000"/>
            <rFont val="Arial"/>
            <family val="2"/>
          </rPr>
          <t xml:space="preserve">
</t>
        </r>
        <r>
          <rPr>
            <sz val="10"/>
            <color rgb="FF000000"/>
            <rFont val="Arial"/>
            <family val="2"/>
          </rPr>
          <t>Points: 10</t>
        </r>
        <r>
          <rPr>
            <sz val="11"/>
            <color rgb="FF000000"/>
            <rFont val="Arial"/>
            <family val="2"/>
          </rPr>
          <t xml:space="preserve"> 
</t>
        </r>
      </text>
    </comment>
    <comment ref="D40" authorId="1" shapeId="0" xr:uid="{00000000-0006-0000-0900-000018000000}">
      <text>
        <r>
          <rPr>
            <sz val="10"/>
            <color rgb="FF000000"/>
            <rFont val="Arial"/>
            <family val="2"/>
          </rPr>
          <t xml:space="preserve">Requirement:  Soil moisture sensors or other weather based irrigation is installed.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42" authorId="1" shapeId="0" xr:uid="{00000000-0006-0000-0900-000019000000}">
      <text>
        <r>
          <rPr>
            <sz val="10"/>
            <color rgb="FF000000"/>
            <rFont val="Arial"/>
            <family val="2"/>
          </rPr>
          <t xml:space="preserve">Requirement: See credit requirement detail in FGBC Reference Guide.  
</t>
        </r>
        <r>
          <rPr>
            <sz val="10"/>
            <color rgb="FF000000"/>
            <rFont val="Arial"/>
            <family val="2"/>
          </rPr>
          <t xml:space="preserve">  
</t>
        </r>
        <r>
          <rPr>
            <sz val="10"/>
            <color rgb="FF000000"/>
            <rFont val="Arial"/>
            <family val="2"/>
          </rPr>
          <t>Points:  3</t>
        </r>
      </text>
    </comment>
    <comment ref="E43" authorId="3" shapeId="0" xr:uid="{00000000-0006-0000-0900-00001A000000}">
      <text>
        <r>
          <rPr>
            <sz val="9"/>
            <color indexed="81"/>
            <rFont val="Arial"/>
            <family val="2"/>
          </rPr>
          <t>1. Separate zones for turf and landscape beds – multi program controller:  In addition to grouping plants with similar maintenance requirements together, it is important to design the irrigation system to deliver the appropriate amount of water for each plant type.  It is recommended that the irrigation systems be calibrated to supply less than ¾” of water per zone, per application.  Even during the summer, turf areas—which generally require the most water of all landscape features—will not benefit from more than ¾” of water per application.  Applying more than ¾” will result in excess water being lost to evaporation, runoff, or percolation through the soil.  Over-watering turf also allows weeds such as dollar weed to become established.  Other plants can suffer from root rot. Most landscape plants do not require as much water as turf, and their zone can be set for less than ¾” of water per application.  An easy way to determine this is to place small containers (i.e. paper cups) throughout each zone and take note of the time it takes the cups to accumulate the desired amount of water.  Then, set your irrigation controller to operate for no longer than that time in each zone.  The controller must be a multiple program controller that can divide the landscape into zones and operate the different zones for different lengths of time.  In this way, high water use zones that require a large amount of water from rotors (application rates of 0.1 – 0.75 inches of water per hour) or spray heads (application rates of 1.0 – 1.5 inches per hour) can be separated from more drought-tolerant plants that require little or no water.  In contrast, a single program controller is often set for the watering requirements of the least drought-tolerant landscape feature, and the rest of the landscape ends up being over-watered.  The controller must have a battery backup to retain system settings and include a functioning rain sensor in an operable location as required by Florida Statute 373.62.</t>
        </r>
      </text>
    </comment>
    <comment ref="E44" authorId="3" shapeId="0" xr:uid="{00000000-0006-0000-0900-00001B000000}">
      <text>
        <r>
          <rPr>
            <sz val="10"/>
            <color rgb="FF000000"/>
            <rFont val="Arial"/>
            <family val="2"/>
          </rPr>
          <t>2. High volume irrigation does not exceed 60% of the landscape area: Landscape zones requiring a high volume of water (greater than 30 gph (gallons per hour) supplied by rotors or spray heads cannot exceed 60% of the landscape area.</t>
        </r>
      </text>
    </comment>
    <comment ref="E45" authorId="3" shapeId="0" xr:uid="{00000000-0006-0000-0900-00001C000000}">
      <text>
        <r>
          <rPr>
            <sz val="10"/>
            <color indexed="81"/>
            <rFont val="Arial"/>
            <family val="2"/>
          </rPr>
          <t>Head to head coverage for rotor/spray heads: Irrigation system designs incorporate spray/rotor head pattern that overlap to ensure complete coverage.  In order to minimize over-watering in the overlap zone, one emitter’s coverage pattern should not extend past adjacent emitters. Full coverage as depicted in the photo below (courtesy of St. Johns River Water Management District)</t>
        </r>
        <r>
          <rPr>
            <sz val="8"/>
            <color indexed="81"/>
            <rFont val="Tahoma"/>
            <family val="2"/>
          </rPr>
          <t xml:space="preserve">
</t>
        </r>
      </text>
    </comment>
    <comment ref="E46" authorId="3" shapeId="0" xr:uid="{00000000-0006-0000-0900-00001D000000}">
      <text>
        <r>
          <rPr>
            <sz val="10"/>
            <color indexed="81"/>
            <rFont val="Arial"/>
            <family val="2"/>
          </rPr>
          <t>Landscape features other than turf can be watered much more efficiently by using micro-irrigation rather than sprayers and rotors.  Equipment such as drip emitters, bubblers, micro-spray jets, and soaker hoses deliver water precisely where it is needed.  In contrast, much of the water emitted from sprayers and rotors is blown away by wind or evaporates.  In addition, narrow areas that are 4 ft. wide or less are difficult to irrigate effectively with rotor or spray heads, for most patterns are greater than 4 feet in diameter.  Micro-irrigation is a better choice for irrigating narrow areas.</t>
        </r>
      </text>
    </comment>
    <comment ref="E47" authorId="3" shapeId="0" xr:uid="{00000000-0006-0000-0900-00001E000000}">
      <text>
        <r>
          <rPr>
            <sz val="10"/>
            <color indexed="81"/>
            <rFont val="Arial"/>
            <family val="2"/>
          </rPr>
          <t xml:space="preserve">5. Provide owner and FGBC with plan and instructions: The eventual homeowner should receive a copy of as built plans, operating manuals, and warranties.  The package should also include a general irrigation schedule with recommendations and instructions on modifying the schedule for local climatic and growing conditions. Each of the following items should be installed adjacent to the controller or in an easily accessible weather-protected area:
a. Controller handbook/operating instructions
b. Zone diagram
c. Specific zone application rates and maintenance run times
d. Location of rain sensor or soil moisture sensor probe  
By having this information where the homeowner can easily find and use it, long-term maintenance of the system is encouraged. Surveys have shown that the typical homeowner is actually afraid to touch the controller because instructions are not available or easy to read. Many times the irrigation contractor does not return to readjust the timer after the establishment period.
</t>
        </r>
      </text>
    </comment>
    <comment ref="D49" authorId="1" shapeId="0" xr:uid="{EB349342-CCBD-3449-B1D0-8DBE82F60636}">
      <text>
        <r>
          <rPr>
            <sz val="10"/>
            <color rgb="FF000000"/>
            <rFont val="Arial"/>
            <family val="2"/>
          </rPr>
          <t xml:space="preserve">Requirement: See credit requirement detail in FGBC Reference Guide.  
</t>
        </r>
        <r>
          <rPr>
            <sz val="10"/>
            <color rgb="FF000000"/>
            <rFont val="Arial"/>
            <family val="2"/>
          </rPr>
          <t xml:space="preserve">  
</t>
        </r>
        <r>
          <rPr>
            <sz val="10"/>
            <color rgb="FF000000"/>
            <rFont val="Arial"/>
            <family val="2"/>
          </rPr>
          <t>Points:  5</t>
        </r>
      </text>
    </comment>
    <comment ref="E50" authorId="3" shapeId="0" xr:uid="{359B1C87-6183-FD40-8B76-D52F54F9D47F}">
      <text>
        <r>
          <rPr>
            <sz val="10"/>
            <color rgb="FF000000"/>
            <rFont val="Arial"/>
            <family val="34"/>
          </rPr>
          <t xml:space="preserve">All irrigation installed must be micro-irrigation including drip emitters (point source, drip line, and multiple outlet) and micro-spray  </t>
        </r>
      </text>
    </comment>
    <comment ref="E51" authorId="3" shapeId="0" xr:uid="{42FCAF1E-CF36-8341-9116-3B77FA1F593C}">
      <text>
        <r>
          <rPr>
            <sz val="10"/>
            <color rgb="FF000000"/>
            <rFont val="Arial"/>
            <family val="34"/>
          </rPr>
          <t xml:space="preserve">System must include a rain sensor, controller and be properly managed. </t>
        </r>
      </text>
    </comment>
    <comment ref="E52" authorId="3" shapeId="0" xr:uid="{6E70AD12-1AD2-CD49-93C9-38844E3137A7}">
      <text>
        <r>
          <rPr>
            <sz val="10"/>
            <color rgb="FF000000"/>
            <rFont val="Arial"/>
            <family val="34"/>
          </rPr>
          <t xml:space="preserve">Provide owner and FGBC with irrigation plan, management plan and instructions: The eventual homeowner should receive a copy of as built plans, operating manuals, and warranties.  The package should also include a general irrigation schedule with recommendations and instructions on modifying the schedule for local climatic and growing conditions. Each of the following items should be installed adjacent to the controller or in an easily accessible weather-protected area:
</t>
        </r>
        <r>
          <rPr>
            <sz val="10"/>
            <color rgb="FF000000"/>
            <rFont val="Arial"/>
            <family val="34"/>
          </rPr>
          <t>a.</t>
        </r>
        <r>
          <rPr>
            <sz val="10"/>
            <color rgb="FF000000"/>
            <rFont val="Arial"/>
            <family val="34"/>
          </rPr>
          <t xml:space="preserve">  </t>
        </r>
        <r>
          <rPr>
            <sz val="10"/>
            <color rgb="FF000000"/>
            <rFont val="Arial"/>
            <family val="34"/>
          </rPr>
          <t xml:space="preserve">Controller handbook/operating instructions
</t>
        </r>
        <r>
          <rPr>
            <sz val="10"/>
            <color rgb="FF000000"/>
            <rFont val="Arial"/>
            <family val="34"/>
          </rPr>
          <t xml:space="preserve">b.  Zone diagram
</t>
        </r>
        <r>
          <rPr>
            <sz val="10"/>
            <color rgb="FF000000"/>
            <rFont val="Arial"/>
            <family val="34"/>
          </rPr>
          <t>c.</t>
        </r>
        <r>
          <rPr>
            <sz val="10"/>
            <color rgb="FF000000"/>
            <rFont val="Arial"/>
            <family val="34"/>
          </rPr>
          <t xml:space="preserve">  </t>
        </r>
        <r>
          <rPr>
            <sz val="10"/>
            <color rgb="FF000000"/>
            <rFont val="Arial"/>
            <family val="34"/>
          </rPr>
          <t xml:space="preserve">Specific zone application rates and maintenance run times
</t>
        </r>
        <r>
          <rPr>
            <sz val="10"/>
            <color rgb="FF000000"/>
            <rFont val="Arial"/>
            <family val="34"/>
          </rPr>
          <t xml:space="preserve">d.  Location of rain sensor or soil moisture sensor probe  
</t>
        </r>
      </text>
    </comment>
    <comment ref="D54" authorId="4" shapeId="0" xr:uid="{B81C1DB2-C80F-974C-8C15-1A3C79AF12D2}">
      <text>
        <r>
          <rPr>
            <sz val="10"/>
            <color rgb="FF000000"/>
            <rFont val="Calibri"/>
            <family val="2"/>
            <scheme val="minor"/>
          </rPr>
          <t>Install pressure compensating spray heads and or micro-irrigation or pressure regulating valves in spray zones and/or pressure regulator for micro-irrigation</t>
        </r>
        <r>
          <rPr>
            <b/>
            <sz val="10"/>
            <color rgb="FF000000"/>
            <rFont val="Calibri"/>
            <family val="2"/>
            <scheme val="minor"/>
          </rPr>
          <t xml:space="preserve"> </t>
        </r>
      </text>
    </comment>
    <comment ref="D55" authorId="1" shapeId="0" xr:uid="{00000000-0006-0000-0900-000021000000}">
      <text>
        <r>
          <rPr>
            <sz val="10"/>
            <color rgb="FF000000"/>
            <rFont val="Arial"/>
            <family val="2"/>
          </rPr>
          <t xml:space="preserve">Requirement:  Check valuves need to be installed if there is over an 18 inch difference in elevation.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56" authorId="1" shapeId="0" xr:uid="{00000000-0006-0000-0900-000022000000}">
      <text>
        <r>
          <rPr>
            <sz val="10"/>
            <color rgb="FF000000"/>
            <rFont val="Arial"/>
            <family val="2"/>
          </rPr>
          <t xml:space="preserve">Requirement:   Each zone irrigated with high volume rotors must have matched precipitation rates.  High volume heads are defined as those emitting greater than 30 gallons per hour (GPH).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57" authorId="1" shapeId="0" xr:uid="{00000000-0006-0000-0900-000023000000}">
      <text>
        <r>
          <rPr>
            <sz val="10"/>
            <color indexed="81"/>
            <rFont val="Arial"/>
            <family val="2"/>
          </rPr>
          <t>Requirement:  Heads pop up sufficiently above the turf per the following:  
a. a minimum of 5-inch sprinkler heads for St. Augustine, Zoysia, and Bahia grasses.
b. a minimum of 4-inch sprinkler heads for Centipede, Bermuda, and Seashore Paspalum.
Points: 1</t>
        </r>
        <r>
          <rPr>
            <sz val="11"/>
            <color indexed="81"/>
            <rFont val="Arial"/>
            <family val="2"/>
          </rPr>
          <t xml:space="preserve">
</t>
        </r>
      </text>
    </comment>
    <comment ref="D60" authorId="1" shapeId="0" xr:uid="{00000000-0006-0000-0900-000024000000}">
      <text>
        <r>
          <rPr>
            <sz val="10"/>
            <color rgb="FF000000"/>
            <rFont val="Arial"/>
            <family val="2"/>
          </rPr>
          <t>Requirement:  Meet the WaterStar</t>
        </r>
        <r>
          <rPr>
            <vertAlign val="superscript"/>
            <sz val="10"/>
            <color rgb="FF000000"/>
            <rFont val="Arial"/>
            <family val="2"/>
          </rPr>
          <t>SM</t>
        </r>
        <r>
          <rPr>
            <sz val="10"/>
            <color rgb="FF000000"/>
            <rFont val="Arial"/>
            <family val="2"/>
          </rPr>
          <t xml:space="preserve"> or WaterSense certification program requirements. 
</t>
        </r>
        <r>
          <rPr>
            <sz val="10"/>
            <color rgb="FF000000"/>
            <rFont val="Arial"/>
            <family val="2"/>
          </rPr>
          <t xml:space="preserve">
</t>
        </r>
        <r>
          <rPr>
            <sz val="10"/>
            <color rgb="FF000000"/>
            <rFont val="Arial"/>
            <family val="2"/>
          </rPr>
          <t xml:space="preserve">Points: 5 </t>
        </r>
      </text>
    </comment>
    <comment ref="D61" authorId="3" shapeId="0" xr:uid="{00000000-0006-0000-0900-000025000000}">
      <text>
        <r>
          <rPr>
            <sz val="10"/>
            <color rgb="FF000000"/>
            <rFont val="Arial"/>
            <family val="2"/>
          </rPr>
          <t>Requirement:  Obtain Florida Friendly Landscaping</t>
        </r>
        <r>
          <rPr>
            <sz val="10"/>
            <color rgb="FF000000"/>
            <rFont val="Arial"/>
            <family val="2"/>
          </rPr>
          <t>™</t>
        </r>
        <r>
          <rPr>
            <sz val="10"/>
            <color rgb="FF000000"/>
            <rFont val="Arial"/>
            <family val="2"/>
          </rPr>
          <t xml:space="preserve"> Program New Construction Certification
</t>
        </r>
        <r>
          <rPr>
            <sz val="10"/>
            <color rgb="FF000000"/>
            <rFont val="Arial"/>
            <family val="2"/>
          </rPr>
          <t xml:space="preserve">
</t>
        </r>
        <r>
          <rPr>
            <sz val="10"/>
            <color rgb="FF000000"/>
            <rFont val="Arial"/>
            <family val="2"/>
          </rPr>
          <t>Points: 2</t>
        </r>
        <r>
          <rPr>
            <sz val="11"/>
            <color rgb="FF00000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OToledo</author>
  </authors>
  <commentList>
    <comment ref="D5" authorId="0" shapeId="0" xr:uid="{00000000-0006-0000-0A00-000001000000}">
      <text>
        <r>
          <rPr>
            <sz val="10"/>
            <color rgb="FF000000"/>
            <rFont val="Arial"/>
            <family val="2"/>
          </rPr>
          <t xml:space="preserve">Requirement: 
</t>
        </r>
        <r>
          <rPr>
            <sz val="10"/>
            <color rgb="FF000000"/>
            <rFont val="Arial"/>
            <family val="2"/>
          </rPr>
          <t xml:space="preserve">The home is built within an FGBC certified Green Land Development.  
</t>
        </r>
        <r>
          <rPr>
            <sz val="10"/>
            <color rgb="FF000000"/>
            <rFont val="Arial"/>
            <family val="2"/>
          </rPr>
          <t xml:space="preserve">
</t>
        </r>
        <r>
          <rPr>
            <sz val="10"/>
            <color rgb="FF000000"/>
            <rFont val="Arial"/>
            <family val="34"/>
          </rPr>
          <t xml:space="preserve">FGBC Certified Green Developments
</t>
        </r>
        <r>
          <rPr>
            <sz val="10"/>
            <color rgb="FF000000"/>
            <rFont val="Arial"/>
            <family val="34"/>
          </rPr>
          <t xml:space="preserve">Points for LC1.1
</t>
        </r>
        <r>
          <rPr>
            <sz val="10"/>
            <color rgb="FF000000"/>
            <rFont val="Arial"/>
            <family val="34"/>
          </rPr>
          <t xml:space="preserve">Abacoa 		2
</t>
        </r>
        <r>
          <rPr>
            <sz val="10"/>
            <color rgb="FF000000"/>
            <rFont val="Arial"/>
            <family val="34"/>
          </rPr>
          <t xml:space="preserve">Alys Beach  		2
</t>
        </r>
        <r>
          <rPr>
            <sz val="10"/>
            <color rgb="FF000000"/>
            <rFont val="Arial"/>
            <family val="34"/>
          </rPr>
          <t xml:space="preserve">Babcock Ranch		6
</t>
        </r>
        <r>
          <rPr>
            <sz val="10"/>
            <color rgb="FF000000"/>
            <rFont val="Arial"/>
            <family val="34"/>
          </rPr>
          <t xml:space="preserve">FishHawk Ranch	2
</t>
        </r>
        <r>
          <rPr>
            <sz val="10"/>
            <color rgb="FF000000"/>
            <rFont val="Arial"/>
            <family val="34"/>
          </rPr>
          <t xml:space="preserve">Glencairn Cottages	2
</t>
        </r>
        <r>
          <rPr>
            <sz val="10"/>
            <color rgb="FF000000"/>
            <rFont val="Arial"/>
            <family val="34"/>
          </rPr>
          <t xml:space="preserve">Granada Park		2
</t>
        </r>
        <r>
          <rPr>
            <sz val="10"/>
            <color rgb="FF000000"/>
            <rFont val="Arial"/>
            <family val="34"/>
          </rPr>
          <t xml:space="preserve">Harmony		3
</t>
        </r>
        <r>
          <rPr>
            <sz val="10"/>
            <color rgb="FF000000"/>
            <rFont val="Arial"/>
            <family val="34"/>
          </rPr>
          <t xml:space="preserve">Lakewood Ranch	3
</t>
        </r>
        <r>
          <rPr>
            <sz val="10"/>
            <color rgb="FF000000"/>
            <rFont val="Arial"/>
            <family val="34"/>
          </rPr>
          <t xml:space="preserve">Longleaf		2
</t>
        </r>
        <r>
          <rPr>
            <sz val="10"/>
            <color rgb="FF000000"/>
            <rFont val="Arial"/>
            <family val="34"/>
          </rPr>
          <t xml:space="preserve">Oakland Park		2
</t>
        </r>
        <r>
          <rPr>
            <sz val="10"/>
            <color rgb="FF000000"/>
            <rFont val="Arial"/>
            <family val="34"/>
          </rPr>
          <t xml:space="preserve">RiverCreek Preserve	6
</t>
        </r>
        <r>
          <rPr>
            <sz val="10"/>
            <color rgb="FF000000"/>
            <rFont val="Arial"/>
            <family val="34"/>
          </rPr>
          <t xml:space="preserve">Venetian Golf and River Club	2
</t>
        </r>
        <r>
          <rPr>
            <sz val="10"/>
            <color rgb="FF000000"/>
            <rFont val="Arial"/>
            <family val="34"/>
          </rPr>
          <t xml:space="preserve">Verandah		3
</t>
        </r>
        <r>
          <rPr>
            <sz val="10"/>
            <color rgb="FF000000"/>
            <rFont val="Arial"/>
            <family val="34"/>
          </rPr>
          <t>Village at Gulfstream Park	2</t>
        </r>
      </text>
    </comment>
    <comment ref="D7" authorId="0" shapeId="0" xr:uid="{00000000-0006-0000-0A00-000002000000}">
      <text>
        <r>
          <rPr>
            <sz val="10"/>
            <color rgb="FF000000"/>
            <rFont val="Arial"/>
            <family val="2"/>
          </rPr>
          <t xml:space="preserve">Requirement: 
</t>
        </r>
        <r>
          <rPr>
            <sz val="10"/>
            <color rgb="FF000000"/>
            <rFont val="Arial"/>
            <family val="2"/>
          </rPr>
          <t xml:space="preserve">Build within certified FGBC Green Local Government.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8" authorId="0" shapeId="0" xr:uid="{00000000-0006-0000-0A00-000003000000}">
      <text>
        <r>
          <rPr>
            <sz val="10"/>
            <color rgb="FF000000"/>
            <rFont val="Arial"/>
            <family val="2"/>
          </rPr>
          <t xml:space="preserve">Requirement:  Home is built on a lot in which 75% of the surrounding within ½ mile radius excluding waterways and parks, has been previously developed 5 or more years ago. 
</t>
        </r>
        <r>
          <rPr>
            <sz val="10"/>
            <color rgb="FF000000"/>
            <rFont val="Arial"/>
            <family val="2"/>
          </rPr>
          <t xml:space="preserve">
</t>
        </r>
        <r>
          <rPr>
            <sz val="10"/>
            <color rgb="FF000000"/>
            <rFont val="Arial"/>
            <family val="2"/>
          </rPr>
          <t xml:space="preserve">Points:  2 
</t>
        </r>
        <r>
          <rPr>
            <sz val="10"/>
            <color rgb="FF000000"/>
            <rFont val="Arial"/>
            <family val="2"/>
          </rPr>
          <t xml:space="preserve">
</t>
        </r>
        <r>
          <rPr>
            <sz val="10"/>
            <color rgb="FF000000"/>
            <rFont val="Arial"/>
            <family val="2"/>
          </rPr>
          <t xml:space="preserve">Submittals:
</t>
        </r>
        <r>
          <rPr>
            <sz val="10"/>
            <color rgb="FF000000"/>
            <rFont val="Arial"/>
            <family val="2"/>
          </rPr>
          <t xml:space="preserve"> Aerial map of site and surrounding areaNone</t>
        </r>
      </text>
    </comment>
    <comment ref="D9" authorId="0" shapeId="0" xr:uid="{00000000-0006-0000-0A00-000004000000}">
      <text>
        <r>
          <rPr>
            <sz val="10"/>
            <color rgb="FF000000"/>
            <rFont val="Arial"/>
            <family val="2"/>
          </rPr>
          <t xml:space="preserve">Requirement:  
</t>
        </r>
        <r>
          <rPr>
            <sz val="10"/>
            <color rgb="FF000000"/>
            <rFont val="Arial"/>
            <family val="2"/>
          </rPr>
          <t xml:space="preserve">Build within 1/8 mile of existing water and sewer infrastructure.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10" authorId="0" shapeId="0" xr:uid="{00000000-0006-0000-0A00-000005000000}">
      <text>
        <r>
          <rPr>
            <sz val="10"/>
            <color rgb="FF000000"/>
            <rFont val="Arial"/>
            <family val="2"/>
          </rPr>
          <t xml:space="preserve">Requirement:    Home within ¼-mile safe walk (sidewalk or other pedestrian path) to a city bus stop or other mass transit station.
</t>
        </r>
        <r>
          <rPr>
            <sz val="10"/>
            <color rgb="FF000000"/>
            <rFont val="Arial"/>
            <family val="2"/>
          </rPr>
          <t xml:space="preserve">
</t>
        </r>
        <r>
          <rPr>
            <sz val="10"/>
            <color rgb="FF000000"/>
            <rFont val="Arial"/>
            <family val="2"/>
          </rPr>
          <t xml:space="preserve">
</t>
        </r>
        <r>
          <rPr>
            <sz val="10"/>
            <color rgb="FF000000"/>
            <rFont val="Arial"/>
            <family val="2"/>
          </rPr>
          <t xml:space="preserve">Multi-Family:     For multi-family projects, 2 points are awarded to the unit if the center of the multi-family project’s property complies with the above requirement.  
</t>
        </r>
        <r>
          <rPr>
            <sz val="10"/>
            <color rgb="FF000000"/>
            <rFont val="Arial"/>
            <family val="2"/>
          </rPr>
          <t xml:space="preserve">
</t>
        </r>
        <r>
          <rPr>
            <sz val="10"/>
            <color rgb="FF000000"/>
            <rFont val="Arial"/>
            <family val="2"/>
          </rPr>
          <t xml:space="preserve">Points: 2 – 4
</t>
        </r>
        <r>
          <rPr>
            <sz val="10"/>
            <color rgb="FF000000"/>
            <rFont val="Arial"/>
            <family val="2"/>
          </rPr>
          <t xml:space="preserve"> 2 Points:  1 route within ¼ mile
</t>
        </r>
        <r>
          <rPr>
            <sz val="10"/>
            <color rgb="FF000000"/>
            <rFont val="Arial"/>
            <family val="2"/>
          </rPr>
          <t xml:space="preserve"> 3 Points:  2-4 routes within ¼ mile
</t>
        </r>
        <r>
          <rPr>
            <sz val="10"/>
            <color rgb="FF000000"/>
            <rFont val="Arial"/>
            <family val="2"/>
          </rPr>
          <t xml:space="preserve"> 4 Points: 5+ routes within ¼ mile
</t>
        </r>
        <r>
          <rPr>
            <sz val="10"/>
            <color rgb="FF000000"/>
            <rFont val="Arial"/>
            <family val="2"/>
          </rPr>
          <t xml:space="preserve">
</t>
        </r>
        <r>
          <rPr>
            <sz val="10"/>
            <color rgb="FF000000"/>
            <rFont val="Arial"/>
            <family val="2"/>
          </rPr>
          <t xml:space="preserve">
</t>
        </r>
        <r>
          <rPr>
            <sz val="10"/>
            <color rgb="FF000000"/>
            <rFont val="Arial"/>
            <family val="2"/>
          </rPr>
          <t>Submittals: None.</t>
        </r>
        <r>
          <rPr>
            <sz val="11"/>
            <color rgb="FF000000"/>
            <rFont val="Arial"/>
            <family val="2"/>
          </rPr>
          <t xml:space="preserve">
</t>
        </r>
      </text>
    </comment>
    <comment ref="D11" authorId="0" shapeId="0" xr:uid="{00000000-0006-0000-0A00-000006000000}">
      <text>
        <r>
          <rPr>
            <sz val="10"/>
            <color rgb="FF000000"/>
            <rFont val="Arial"/>
            <family val="2"/>
          </rPr>
          <t xml:space="preserve">Requirement:  
</t>
        </r>
        <r>
          <rPr>
            <sz val="10"/>
            <color rgb="FF000000"/>
            <rFont val="Arial"/>
            <family val="2"/>
          </rPr>
          <t xml:space="preserve">Home within ½ mile of Public Park or recreational area (this can be measured as the crow flies).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12" authorId="0" shapeId="0" xr:uid="{00000000-0006-0000-0A00-000007000000}">
      <text>
        <r>
          <rPr>
            <sz val="10"/>
            <color rgb="FF000000"/>
            <rFont val="Arial"/>
            <family val="2"/>
          </rPr>
          <t xml:space="preserve">Requirement: 
</t>
        </r>
        <r>
          <rPr>
            <sz val="10"/>
            <color rgb="FF000000"/>
            <rFont val="Arial"/>
            <family val="2"/>
          </rPr>
          <t xml:space="preserve">Locate the home or multi-family building on a site that is within 1/2 mile of and has safe and walkable access to basic services.  For each 3 types of services receive 1 point.  Each type of service may only be counted once, i.e. if there are 3 banks, for the purposes of this checklist that is equal to ONE service.  
</t>
        </r>
        <r>
          <rPr>
            <sz val="10"/>
            <color rgb="FF000000"/>
            <rFont val="Arial"/>
            <family val="2"/>
          </rPr>
          <t xml:space="preserve">
</t>
        </r>
        <r>
          <rPr>
            <sz val="10"/>
            <color rgb="FF000000"/>
            <rFont val="Arial"/>
            <family val="2"/>
          </rPr>
          <t>Points:  1-5</t>
        </r>
        <r>
          <rPr>
            <sz val="10"/>
            <color rgb="FF000000"/>
            <rFont val="Tahoma"/>
            <family val="2"/>
          </rPr>
          <t xml:space="preserve">
</t>
        </r>
        <r>
          <rPr>
            <sz val="10"/>
            <color rgb="FF0000FF"/>
            <rFont val="Tahoma"/>
            <family val="2"/>
          </rPr>
          <t xml:space="preserve">
</t>
        </r>
      </text>
    </comment>
    <comment ref="D39" authorId="0" shapeId="0" xr:uid="{00000000-0006-0000-0A00-000008000000}">
      <text>
        <r>
          <rPr>
            <sz val="10"/>
            <color rgb="FF000000"/>
            <rFont val="Arial"/>
            <family val="2"/>
          </rPr>
          <t xml:space="preserve">Requirement: 
</t>
        </r>
        <r>
          <rPr>
            <sz val="10"/>
            <color rgb="FF000000"/>
            <rFont val="Arial"/>
            <family val="2"/>
          </rPr>
          <t xml:space="preserve">Home is located on a the lot in a development or subdivision / neighborhood with a development that has clustered the houses into lots that are 5,000 square feet or less and the development has preserved for the common good over 50% of the total acreage.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40" authorId="0" shapeId="0" xr:uid="{00000000-0006-0000-0A00-000009000000}">
      <text>
        <r>
          <rPr>
            <sz val="10"/>
            <color indexed="81"/>
            <rFont val="Arial"/>
            <family val="2"/>
          </rPr>
          <t xml:space="preserve">Requirement:  
Home is located on a rehabilitated designated Brownfield site
Points: 2 </t>
        </r>
        <r>
          <rPr>
            <sz val="11"/>
            <color indexed="81"/>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OToledo</author>
  </authors>
  <commentList>
    <comment ref="D7" authorId="0" shapeId="0" xr:uid="{00000000-0006-0000-0B00-000001000000}">
      <text>
        <r>
          <rPr>
            <sz val="10"/>
            <color indexed="81"/>
            <rFont val="Arial"/>
            <family val="2"/>
          </rPr>
          <t xml:space="preserve">Please refer to the Reference Guide for complete requirements.
Requirement:  Protect existing trees during construction of home by employing the following techniques to at least 12 inches of tree caliper measured at chest height (i.e. four 3-inch trees, two 6-inch trees, etc.) per acre.
1. Provide a survey of the property that identifies all trees 2 inches in diameter at greater than breast height (4.5 feet) and all native plant communities.  Identify areas to be preserved and develop a strategy for avoiding mechanical and chemical damage, grade changes, trenching, and compaction. 
2. To avoid accidental cutting of trees, clearly mark the trees to be cut with paint at eye level, and also on the ground to make it easier to see if unmarked trees have been cut.  Also, make sure the cut trees will not damage other trees when they fall.
3. Construct barricades around trees or groups of trees to be preserved at their drip line to prevent mechanical damage.  Mechanical damage can be caused by heavy equipment, carelessness with tools, soil compaction, and improper cutting of roots.  Make sure the barriers are tall enough to be seen by equipment operators.  Use hand tools when removing brush and weeds around a tree.
4. Plan for tree survival when making grade changes, for filling can damage trees.  Fill may raise the water table or cause surface drainage to puddle over the roots.  A light fill of porous or gravel material up to 6 inches in depth will usually do little harm, however heavier or more impervious fills such as clay and marl will harm the tree.  It is often advantageous to install an aeration system before the fill is added, to maintain a normal balance of air and water around the roots.  Consult with a tree expert or the Florida Division of Forestry for more information regarding construction of an aeration system, which generally includes installing tile for drainage and aeration, constructing a drywell, and filling. Minimize damage to roots during excavation:
   a. Cut roots cleanly and retrim after excavation.
   b. Treat cuts in larger roots (1/4 inch and up) with wound dressing.
   c. Refill the excavation as soon as possible or construct retaining walls.
   d. Avoid leaving air pockets when refilling.
   e. Mix peat moss or other soil amendment with fill soil to promote new growth.
   f. Top-prune to aid in maintaining tree vigor.
   g. If cables or piping must be laid through the tree root zone, it is better to tunnel underneath it rather than trench through it.
5. Keep the soil within the drip line undisturbed and free from building materials and harmful runoffs to avoid chemical damage.  Do not use areas near trees as dump or storage areas.  Do not use herbicides or pesticides, or fertilizers containing herbicides, near any of the vegetation you are trying to preserve.
Points: 2 
  </t>
        </r>
      </text>
    </comment>
    <comment ref="D8" authorId="0" shapeId="0" xr:uid="{00000000-0006-0000-0B00-000002000000}">
      <text>
        <r>
          <rPr>
            <sz val="10"/>
            <color indexed="81"/>
            <rFont val="Arial"/>
            <family val="2"/>
          </rPr>
          <t>Requirement:  
Restrict all construction equipment movement to either &lt;25% of site (1 point) or to the location of the future driveway (2 points).  This point is calculated by taking the area of the lot minus the footprint of the home. 25% of the result of this calculation must be blocked off and left undisturbed.
Points:
1 point if equipment restricted to &lt; 25% of site 
2 points if equipment restricted to future driveway</t>
        </r>
        <r>
          <rPr>
            <sz val="11"/>
            <color indexed="81"/>
            <rFont val="Arial"/>
            <family val="2"/>
          </rPr>
          <t xml:space="preserve">
</t>
        </r>
        <r>
          <rPr>
            <sz val="9"/>
            <color indexed="81"/>
            <rFont val="Tahoma"/>
            <family val="2"/>
          </rPr>
          <t xml:space="preserve">
</t>
        </r>
      </text>
    </comment>
    <comment ref="D11" authorId="0" shapeId="0" xr:uid="{00000000-0006-0000-0B00-000003000000}">
      <text>
        <r>
          <rPr>
            <sz val="10"/>
            <color indexed="81"/>
            <rFont val="Arial"/>
            <family val="2"/>
          </rPr>
          <t xml:space="preserve">Requirement: 
Native vegetation removed for construction is taken offsite (i.e. to a plant nursery) and then after construction brought back and planted onsite.   Alternatively, transplant the removed material to another site.  
Qualification for these points requires either transplantation of 10% of the site vegetation or at least 12 inches of tree caliper measured at chest height (i.e. four 3-inch trees, two 6-inch trees, etc.). Replant any removed native vegetation on or off site
Points: 2 </t>
        </r>
      </text>
    </comment>
    <comment ref="D12" authorId="0" shapeId="0" xr:uid="{00000000-0006-0000-0B00-000004000000}">
      <text>
        <r>
          <rPr>
            <sz val="10"/>
            <color indexed="81"/>
            <rFont val="Arial"/>
            <family val="2"/>
          </rPr>
          <t xml:space="preserve">Requirement:  
To achieve this credit, preserve or create a minimum of 10% of the site as contiguous wildlife habitat or shelter.  The area may not be irrigated and must have a planted or established native plant community.
Points: 1 point for each 10% contiguous area of the site.  </t>
        </r>
        <r>
          <rPr>
            <sz val="11"/>
            <color indexed="81"/>
            <rFont val="Arial"/>
            <family val="2"/>
          </rPr>
          <t xml:space="preserve">
</t>
        </r>
      </text>
    </comment>
    <comment ref="D16" authorId="0" shapeId="0" xr:uid="{00000000-0006-0000-0B00-000005000000}">
      <text>
        <r>
          <rPr>
            <sz val="10"/>
            <color indexed="81"/>
            <rFont val="Arial"/>
            <family val="2"/>
          </rPr>
          <t xml:space="preserve">Requirement:  
All removed trees greater than 4 inches in diameter that will not be replanted or donated are milled into lumber. 
Points: 2 </t>
        </r>
        <r>
          <rPr>
            <sz val="11"/>
            <color indexed="81"/>
            <rFont val="Arial"/>
            <family val="2"/>
          </rPr>
          <t xml:space="preserve">
</t>
        </r>
      </text>
    </comment>
    <comment ref="D17" authorId="0" shapeId="0" xr:uid="{00000000-0006-0000-0B00-000006000000}">
      <text>
        <r>
          <rPr>
            <sz val="10"/>
            <color indexed="81"/>
            <rFont val="Arial"/>
            <family val="2"/>
          </rPr>
          <t xml:space="preserve">Requirement:  
Home uses mulch that is generated from the cleared site and/or from another site.  All stumps and limbs greater than 2” are used for mulch or landscaping. No credit is given for reusing Palms, Brazilian pepper or Australian pines.
Points: 
1 Point:
If the mulch is made from materials cleared onsite and reused on site OR if the mulch is made of cleared materials from another site. 
2 Points:
If the mulch is made from materials cleared onsite and reused on site AND if mulch from another site is also used.  
</t>
        </r>
      </text>
    </comment>
    <comment ref="D21" authorId="0" shapeId="0" xr:uid="{00000000-0006-0000-0B00-000007000000}">
      <text>
        <r>
          <rPr>
            <sz val="10"/>
            <color rgb="FF000000"/>
            <rFont val="Arial"/>
            <family val="2"/>
          </rPr>
          <t xml:space="preserve">Requirement:  
</t>
        </r>
        <r>
          <rPr>
            <sz val="10"/>
            <color rgb="FF000000"/>
            <rFont val="Arial"/>
            <family val="2"/>
          </rPr>
          <t xml:space="preserve">Develop and implement an erosion sedimentation control site plan before the site is cleared or graded, including areas where topsoil will be removed and contours of slopes will be cleared.  Plan should also include location and type of erosion control measures, stormwater and sediment management systems, and a vegetative plan for temporary and permanent stabilization. 
</t>
        </r>
        <r>
          <rPr>
            <b/>
            <sz val="10"/>
            <color rgb="FF000000"/>
            <rFont val="Arial"/>
            <family val="2"/>
          </rPr>
          <t xml:space="preserve">
</t>
        </r>
        <r>
          <rPr>
            <b/>
            <sz val="10"/>
            <color rgb="FF000000"/>
            <rFont val="Arial"/>
            <family val="2"/>
          </rPr>
          <t>Silt fence without other measures does not meet the intent of requirement.</t>
        </r>
        <r>
          <rPr>
            <sz val="10"/>
            <color rgb="FF000000"/>
            <rFont val="Arial"/>
            <family val="2"/>
          </rPr>
          <t xml:space="preserve">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22" authorId="0" shapeId="0" xr:uid="{00000000-0006-0000-0B00-000008000000}">
      <text>
        <r>
          <rPr>
            <sz val="10"/>
            <color rgb="FF000000"/>
            <rFont val="Arial"/>
            <family val="2"/>
          </rPr>
          <t xml:space="preserve">Requirement:  
</t>
        </r>
        <r>
          <rPr>
            <sz val="10"/>
            <color rgb="FF000000"/>
            <rFont val="Arial"/>
            <family val="2"/>
          </rPr>
          <t xml:space="preserve">Use and document the use of Best Management Practices (BMPs) for soil stabilization (keeping good soil in place during the construction process) such as hydro mulch, non-floatable conventional or alternative mulch, groundcovers, rye grass or millet, and retaining walls.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9"/>
            <color rgb="FF000000"/>
            <rFont val="Tahoma"/>
            <family val="2"/>
          </rPr>
          <t xml:space="preserve">
</t>
        </r>
      </text>
    </comment>
    <comment ref="D23" authorId="0" shapeId="0" xr:uid="{00000000-0006-0000-0B00-000009000000}">
      <text>
        <r>
          <rPr>
            <sz val="10"/>
            <color indexed="81"/>
            <rFont val="Arial"/>
            <family val="2"/>
          </rPr>
          <t xml:space="preserve">Requirement: 
Minimize site disturbance with physical barricades.  No more than 60% of the site or no more than ¼ acre (whichever is less) can be disturbed at one time.  Existing vegetation must remain intact on the undisturbed part until at least 40% of the site is landscaped.
Points: 2 </t>
        </r>
        <r>
          <rPr>
            <sz val="11"/>
            <color indexed="81"/>
            <rFont val="Arial"/>
            <family val="2"/>
          </rPr>
          <t xml:space="preserve">
</t>
        </r>
      </text>
    </comment>
    <comment ref="D24" authorId="0" shapeId="0" xr:uid="{00000000-0006-0000-0B00-00000A000000}">
      <text>
        <r>
          <rPr>
            <sz val="10"/>
            <color rgb="FF000000"/>
            <rFont val="Arial"/>
            <family val="2"/>
          </rPr>
          <t xml:space="preserve">Requirement:  
</t>
        </r>
        <r>
          <rPr>
            <sz val="10"/>
            <color rgb="FF000000"/>
            <rFont val="Arial"/>
            <family val="2"/>
          </rPr>
          <t xml:space="preserve">Use and document the use of Best Management Practices (BMPs) to control sediment runoff/transport during construction, such as using a temporary gravel construction entrance/exit, straw bale barriers, silt fences, sediment traps, etc.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9"/>
            <color rgb="FF000000"/>
            <rFont val="Tahoma"/>
            <family val="2"/>
          </rPr>
          <t xml:space="preserve">
</t>
        </r>
      </text>
    </comment>
    <comment ref="D25" authorId="0" shapeId="0" xr:uid="{00000000-0006-0000-0B00-00000B000000}">
      <text>
        <r>
          <rPr>
            <sz val="10"/>
            <color rgb="FF000000"/>
            <rFont val="Arial"/>
            <family val="2"/>
          </rPr>
          <t xml:space="preserve">Requirement:  
</t>
        </r>
        <r>
          <rPr>
            <sz val="10"/>
            <color rgb="FF000000"/>
            <rFont val="Arial"/>
            <family val="2"/>
          </rPr>
          <t xml:space="preserve">Save, protect and reuse topsoil on site as the final top layer on site following construction.  The soil must be covered and protected from weather until used.  Organic soils lose their nutrients if left exposed to the elements.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28" authorId="0" shapeId="0" xr:uid="{00000000-0006-0000-0B00-00000C000000}">
      <text>
        <r>
          <rPr>
            <sz val="10"/>
            <color rgb="FF000000"/>
            <rFont val="Arial"/>
            <family val="2"/>
          </rPr>
          <t xml:space="preserve">Requirement: 
</t>
        </r>
        <r>
          <rPr>
            <sz val="10"/>
            <color rgb="FF000000"/>
            <rFont val="Arial"/>
            <family val="2"/>
          </rPr>
          <t xml:space="preserve">Create and designate onsite retention area(s) that will hold the first inch of rainfall.  This could be a single retention area or system of berms/swales.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29" authorId="0" shapeId="0" xr:uid="{00000000-0006-0000-0B00-00000D000000}">
      <text>
        <r>
          <rPr>
            <sz val="10"/>
            <color indexed="81"/>
            <rFont val="Arial"/>
            <family val="2"/>
          </rPr>
          <t xml:space="preserve">Requirement: 
Disperse flow from runoff at least 3 feet from building using an infiltration system that spreads runoff over a large area and eliminates focused flow that might cause erosion.  
Points: 2 </t>
        </r>
        <r>
          <rPr>
            <sz val="11"/>
            <color indexed="81"/>
            <rFont val="Arial"/>
            <family val="2"/>
          </rPr>
          <t xml:space="preserve">
</t>
        </r>
      </text>
    </comment>
    <comment ref="D30" authorId="0" shapeId="0" xr:uid="{00000000-0006-0000-0B00-00000E000000}">
      <text>
        <r>
          <rPr>
            <sz val="10"/>
            <color rgb="FF000000"/>
            <rFont val="Arial"/>
            <family val="2"/>
          </rPr>
          <t xml:space="preserve">Requirement:  
</t>
        </r>
        <r>
          <rPr>
            <sz val="10"/>
            <color rgb="FF000000"/>
            <rFont val="Arial"/>
            <family val="2"/>
          </rPr>
          <t xml:space="preserve">At least 20% of the site should be 100% pervious For semi-pervious sections use the following equation to determine equivalent pervious area:
</t>
        </r>
        <r>
          <rPr>
            <sz val="10"/>
            <color rgb="FF000000"/>
            <rFont val="Arial"/>
            <family val="2"/>
          </rPr>
          <t xml:space="preserve">(% perviousness of material/100) x (coverage area) = equivalent pervious area
</t>
        </r>
        <r>
          <rPr>
            <sz val="10"/>
            <color rgb="FF000000"/>
            <rFont val="Arial"/>
            <family val="2"/>
          </rPr>
          <t xml:space="preserve">Add the coverage areas of 100% pervious materials and the equivalent area of the semi-pervious materials and divide by the total lot area.  Then, divide this result by 0.2 to obtain the eligible points. 
</t>
        </r>
        <r>
          <rPr>
            <sz val="10"/>
            <color rgb="FF000000"/>
            <rFont val="Arial"/>
            <family val="2"/>
          </rPr>
          <t xml:space="preserve">
</t>
        </r>
        <r>
          <rPr>
            <sz val="10"/>
            <color rgb="FF000000"/>
            <rFont val="Arial"/>
            <family val="2"/>
          </rPr>
          <t xml:space="preserve">Points: 1 point for each 20% of the site that is 100% pervious.  </t>
        </r>
        <r>
          <rPr>
            <sz val="11"/>
            <color rgb="FF000000"/>
            <rFont val="Arial"/>
            <family val="2"/>
          </rPr>
          <t xml:space="preserve">
</t>
        </r>
        <r>
          <rPr>
            <sz val="11"/>
            <color rgb="FF000000"/>
            <rFont val="Arial"/>
            <family val="2"/>
          </rPr>
          <t xml:space="preserve">
</t>
        </r>
        <r>
          <rPr>
            <sz val="9"/>
            <color rgb="FF000000"/>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OToledo</author>
    <author>Jennifer Languell</author>
    <author>Danny</author>
  </authors>
  <commentList>
    <comment ref="D5" authorId="0" shapeId="0" xr:uid="{00000000-0006-0000-0C00-000001000000}">
      <text>
        <r>
          <rPr>
            <sz val="10"/>
            <color indexed="81"/>
            <rFont val="Arial"/>
            <family val="2"/>
          </rPr>
          <t>Requirement:  
Home has detached garage that does not share any common walls or enclosed passageways with the primary living space or carport OR attached garage is constructed with air barrier between garage and living space (including the barrier between attic)
 AND
No air handler/return ducts in garage or a sealed and insulated closet may be built around equipment if it must be in the garage.  The sealed closet must meet the following requirements:
1. Insulate the four walls of the closet.
2. Finish the walls and ceiling with drywall.
3. Seal all holes and air leakage pathways through the walls, floor, and ceiling that can connect the closet to the garage (plumbing, gas lines, wiring, and bottom plate).
4. Install a non-louvered door that is weather-stripped and equipped with a properly adjusted threshold.
5. Seal the ducts to the ceiling. The closet must not be depressurized by more than 3 Pa with respect to the garage.  
Points: 3</t>
        </r>
        <r>
          <rPr>
            <sz val="11"/>
            <color indexed="81"/>
            <rFont val="Arial"/>
            <family val="2"/>
          </rPr>
          <t xml:space="preserve">
</t>
        </r>
        <r>
          <rPr>
            <sz val="9"/>
            <color indexed="81"/>
            <rFont val="Tahoma"/>
            <family val="2"/>
          </rPr>
          <t xml:space="preserve">
</t>
        </r>
      </text>
    </comment>
    <comment ref="D6" authorId="0" shapeId="0" xr:uid="{00000000-0006-0000-0C00-000002000000}">
      <text>
        <r>
          <rPr>
            <sz val="10"/>
            <color indexed="81"/>
            <rFont val="Arial"/>
            <family val="2"/>
          </rPr>
          <t xml:space="preserve">Requirement: 
Install exhaust fan on motion sensor and timer in garage capable of fully exchanging the garage air with the outside air in 15 minutes or less and if the air handler / return ducts are not located in the garage.  A typical 20ft x 20ft x 8ft garage would require a 220 cfm fan.  The fan must run for a sufficient amount of time to fully exchange the garage air every four hours on a timer or when activated via a motion sensor, to exhaust carbon monoxide fumes from automobiles.  Fan must exhaust to the outside.  
Points: 1 </t>
        </r>
        <r>
          <rPr>
            <sz val="11"/>
            <color indexed="81"/>
            <rFont val="Arial"/>
            <family val="2"/>
          </rPr>
          <t xml:space="preserve">
</t>
        </r>
      </text>
    </comment>
    <comment ref="D7" authorId="0" shapeId="0" xr:uid="{00000000-0006-0000-0C00-000003000000}">
      <text>
        <r>
          <rPr>
            <sz val="10"/>
            <color rgb="FF000000"/>
            <rFont val="Arial"/>
            <family val="2"/>
          </rPr>
          <t xml:space="preserve">Requirement:  Install a direct vent sealed combustion fireplace with dedicated outside air intake that is properly vented to the outside.  The fireplace should also be equipped with electronic ignition. This credit is also available for factory built wood burning fireplaces and for homes that do not have a fireplace.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8" authorId="0" shapeId="0" xr:uid="{00000000-0006-0000-0C00-000004000000}">
      <text>
        <r>
          <rPr>
            <sz val="10"/>
            <color indexed="81"/>
            <rFont val="Arial"/>
            <family val="2"/>
          </rPr>
          <t xml:space="preserve">Requirement:
Install a sealed combustion or electric furnace or water heater. 
If non-sealed equipment is used, points are still available if the equipment is isolated from the conditioned area of the home via a sealed combustion closet.  Combustion closet requirements are:
1. Insulate the four walls of the closet.
2. Finish the walls and ceiling with drywall.
3. Seal all holes and air leakage pathways through the walls, floor, and ceiling, which can connect the closet to the garage (plumbing, gas lines, wiring, and bottom plate).
4. Install a non-louvered door that is weather-stripped and equipped with a properly adjusted threshold.
5. Seal the ducts to the ceiling. The closet must not be depressurized by more than 3 Pa with respect to the garage.  
Note: Points are NOT awarded if the furnace is located outside the conditioned space such as in the garage.  
Points: 
1 point for combustion hot water or electric
1 point for combustion space heating or electric
</t>
        </r>
      </text>
    </comment>
    <comment ref="D16" authorId="0" shapeId="0" xr:uid="{00000000-0006-0000-0C00-000005000000}">
      <text>
        <r>
          <rPr>
            <sz val="10"/>
            <color indexed="81"/>
            <rFont val="Arial"/>
            <family val="2"/>
          </rPr>
          <t>Requirement: 
Install drainage tile on and around top of footing such as perforated PVC with a fabric cover.  Crushed stone of approximately 6” should be installed under the pipe with then more stone being used to cover the pipe after installation.  The pipe should drain to a retention area away from the home.  
Points: 1</t>
        </r>
        <r>
          <rPr>
            <sz val="11"/>
            <color indexed="81"/>
            <rFont val="Arial"/>
            <family val="2"/>
          </rPr>
          <t xml:space="preserve">
</t>
        </r>
      </text>
    </comment>
    <comment ref="D17" authorId="0" shapeId="0" xr:uid="{00000000-0006-0000-0C00-000006000000}">
      <text>
        <r>
          <rPr>
            <sz val="10"/>
            <color indexed="81"/>
            <rFont val="Arial"/>
            <family val="2"/>
          </rPr>
          <t>Requirement: 
Install drainage board for below grade walls.
Points: 1</t>
        </r>
        <r>
          <rPr>
            <sz val="11"/>
            <color indexed="81"/>
            <rFont val="Arial"/>
            <family val="2"/>
          </rPr>
          <t xml:space="preserve">
</t>
        </r>
      </text>
    </comment>
    <comment ref="D18" authorId="0" shapeId="0" xr:uid="{00000000-0006-0000-0C00-000007000000}">
      <text>
        <r>
          <rPr>
            <sz val="10"/>
            <color rgb="FF000000"/>
            <rFont val="Arial"/>
            <family val="2"/>
          </rPr>
          <t xml:space="preserve">Requirement: 
</t>
        </r>
        <r>
          <rPr>
            <sz val="10"/>
            <color rgb="FF000000"/>
            <rFont val="Arial"/>
            <family val="2"/>
          </rPr>
          <t xml:space="preserve">Install a gravel bed beneath slab on grade floors that is a minimum of 6” (preferred depth is 12”).  The gravel should be placed under the complete slab including footings.  All footings should be dug larger to allow for the gravel placement.  It is also recommended that several drain tile pipes (4 inch PVC) be installed under the slab and extend to the exterior of the slab to allow water that has accumulated to drain to the exterior of the slab.  The specific criterion will vary depending on the soil type in your area.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19" authorId="0" shapeId="0" xr:uid="{00000000-0006-0000-0C00-000008000000}">
      <text>
        <r>
          <rPr>
            <sz val="10"/>
            <color rgb="FF000000"/>
            <rFont val="Arial"/>
            <family val="2"/>
          </rPr>
          <t xml:space="preserve">Requirement:  
</t>
        </r>
        <r>
          <rPr>
            <sz val="10"/>
            <color rgb="FF000000"/>
            <rFont val="Arial"/>
            <family val="2"/>
          </rPr>
          <t xml:space="preserve">Seal all slab penetrations with an elastomeric or flexible polyurethane sealant.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20" authorId="0" shapeId="0" xr:uid="{00000000-0006-0000-0C00-000009000000}">
      <text>
        <r>
          <rPr>
            <sz val="10"/>
            <color indexed="81"/>
            <rFont val="Arial"/>
            <family val="2"/>
          </rPr>
          <t xml:space="preserve">Requirement: 
Install a complete framed wall-width sill gasket, EPDM-type rubber, or other suitable membrane
Points: 1 </t>
        </r>
        <r>
          <rPr>
            <sz val="11"/>
            <color indexed="81"/>
            <rFont val="Arial"/>
            <family val="2"/>
          </rPr>
          <t xml:space="preserve">
</t>
        </r>
      </text>
    </comment>
    <comment ref="D21" authorId="0" shapeId="0" xr:uid="{00000000-0006-0000-0C00-00000A000000}">
      <text>
        <r>
          <rPr>
            <sz val="10"/>
            <color indexed="81"/>
            <rFont val="Arial"/>
            <family val="2"/>
          </rPr>
          <t>Requirement: 
The home shall be equipped with a central dehumidification system installed by a local HVAC contractor, which works in conjunction with the home’s HVAC system.
Points: 3</t>
        </r>
        <r>
          <rPr>
            <sz val="11"/>
            <color indexed="81"/>
            <rFont val="Arial"/>
            <family val="2"/>
          </rPr>
          <t xml:space="preserve">
</t>
        </r>
      </text>
    </comment>
    <comment ref="D22" authorId="0" shapeId="0" xr:uid="{00000000-0006-0000-0C00-00000B000000}">
      <text>
        <r>
          <rPr>
            <sz val="10"/>
            <color indexed="81"/>
            <rFont val="Arial"/>
            <family val="2"/>
          </rPr>
          <t xml:space="preserve">Requirement:  
All materials installed on the inside of any exterior wall, floor, or roof assembly must have a perm rating &gt; 1 perm.  
Points: 1 </t>
        </r>
        <r>
          <rPr>
            <sz val="11"/>
            <color indexed="81"/>
            <rFont val="Arial"/>
            <family val="2"/>
          </rPr>
          <t xml:space="preserve">
</t>
        </r>
      </text>
    </comment>
    <comment ref="D23" authorId="1" shapeId="0" xr:uid="{00000000-0006-0000-0C00-00000C000000}">
      <text>
        <r>
          <rPr>
            <b/>
            <sz val="9"/>
            <color rgb="FF000000"/>
            <rFont val="Calibri"/>
            <family val="2"/>
          </rPr>
          <t xml:space="preserve">Requirment:  
</t>
        </r>
        <r>
          <rPr>
            <b/>
            <sz val="9"/>
            <color rgb="FF000000"/>
            <rFont val="Calibri"/>
            <family val="2"/>
          </rPr>
          <t xml:space="preserve">Seal shower walls
</t>
        </r>
        <r>
          <rPr>
            <b/>
            <sz val="9"/>
            <color rgb="FF000000"/>
            <rFont val="Calibri"/>
            <family val="2"/>
          </rPr>
          <t xml:space="preserve">
</t>
        </r>
        <r>
          <rPr>
            <b/>
            <sz val="9"/>
            <color rgb="FF000000"/>
            <rFont val="Calibri"/>
            <family val="2"/>
          </rPr>
          <t>Points:  1</t>
        </r>
        <r>
          <rPr>
            <sz val="9"/>
            <color rgb="FF000000"/>
            <rFont val="Calibri"/>
            <family val="2"/>
          </rPr>
          <t xml:space="preserve">
</t>
        </r>
      </text>
    </comment>
    <comment ref="D24" authorId="2" shapeId="0" xr:uid="{00000000-0006-0000-0C00-00000D000000}">
      <text>
        <r>
          <rPr>
            <sz val="9"/>
            <color indexed="81"/>
            <rFont val="Tahoma"/>
            <family val="2"/>
          </rPr>
          <t xml:space="preserve">Requirement: 
 Seal entire slab contained within the conditioned area, including under partition walls from moisture intrusion.  
Points: 1 
 Intent: Decrease moisture intrusion through concrete slab
Submittals: Photo of installed product applied to slab and product information 
</t>
        </r>
      </text>
    </comment>
    <comment ref="D27" authorId="0" shapeId="0" xr:uid="{00000000-0006-0000-0C00-00000E000000}">
      <text>
        <r>
          <rPr>
            <sz val="10"/>
            <color rgb="FF000000"/>
            <rFont val="Arial"/>
            <family val="2"/>
          </rPr>
          <t xml:space="preserve">Requirement: 
</t>
        </r>
        <r>
          <rPr>
            <sz val="10"/>
            <color rgb="FF000000"/>
            <rFont val="Arial"/>
            <family val="2"/>
          </rPr>
          <t xml:space="preserve">The conditioned space of the home contains no materials such as plywood, MDF, or particle board  that use urea formaldehyde.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28" authorId="0" shapeId="0" xr:uid="{00000000-0006-0000-0C00-00000F000000}">
      <text>
        <r>
          <rPr>
            <sz val="10"/>
            <color rgb="FF000000"/>
            <rFont val="Arial"/>
            <family val="2"/>
          </rPr>
          <t xml:space="preserve">Requirement:  
</t>
        </r>
        <r>
          <rPr>
            <sz val="10"/>
            <color rgb="FF000000"/>
            <rFont val="Arial"/>
            <family val="2"/>
          </rPr>
          <t xml:space="preserve">All, 100%, paint, stains, and other finish coatings used in the interior of the home are certified as having low VOCs to comply with the limits specified in the Reference Guide for credit H3.02
</t>
        </r>
        <r>
          <rPr>
            <sz val="10"/>
            <color rgb="FF000000"/>
            <rFont val="Arial"/>
            <family val="2"/>
          </rPr>
          <t xml:space="preserve">
</t>
        </r>
        <r>
          <rPr>
            <sz val="10"/>
            <color rgb="FF000000"/>
            <rFont val="Arial"/>
            <family val="2"/>
          </rPr>
          <t xml:space="preserve">Points: 
</t>
        </r>
        <r>
          <rPr>
            <sz val="10"/>
            <color rgb="FF000000"/>
            <rFont val="Arial"/>
            <family val="2"/>
          </rPr>
          <t xml:space="preserve">2 points for zero VOC
</t>
        </r>
        <r>
          <rPr>
            <sz val="10"/>
            <color rgb="FF000000"/>
            <rFont val="Arial"/>
            <family val="2"/>
          </rPr>
          <t xml:space="preserve">
</t>
        </r>
        <r>
          <rPr>
            <sz val="10"/>
            <color rgb="FF000000"/>
            <rFont val="Arial"/>
            <family val="2"/>
          </rPr>
          <t xml:space="preserve">Submital: Cut sheet of all finish coating used.
</t>
        </r>
        <r>
          <rPr>
            <sz val="11"/>
            <color rgb="FF000000"/>
            <rFont val="Arial"/>
            <family val="2"/>
          </rPr>
          <t xml:space="preserve">
</t>
        </r>
      </text>
    </comment>
    <comment ref="D29" authorId="0" shapeId="0" xr:uid="{00000000-0006-0000-0C00-000010000000}">
      <text>
        <r>
          <rPr>
            <sz val="10"/>
            <color rgb="FF000000"/>
            <rFont val="Arial"/>
            <family val="2"/>
          </rPr>
          <t xml:space="preserve">Requirement: 
</t>
        </r>
        <r>
          <rPr>
            <sz val="10"/>
            <color rgb="FF000000"/>
            <rFont val="Arial"/>
            <family val="2"/>
          </rPr>
          <t xml:space="preserve">100% of all sealants used are ≤ 250 g/l and adhesives ≤ 70 g/l. If adhesives and sealants do not comply with these numbers but comply with the limits in table from H3.03, the point is available. 
</t>
        </r>
        <r>
          <rPr>
            <sz val="10"/>
            <color rgb="FF000000"/>
            <rFont val="Arial"/>
            <family val="2"/>
          </rPr>
          <t xml:space="preserve">
</t>
        </r>
        <r>
          <rPr>
            <sz val="10"/>
            <color rgb="FF000000"/>
            <rFont val="Arial"/>
            <family val="2"/>
          </rPr>
          <t>Points: 1</t>
        </r>
        <r>
          <rPr>
            <sz val="11"/>
            <color rgb="FF000000"/>
            <rFont val="Arial"/>
            <family val="2"/>
          </rPr>
          <t xml:space="preserve">
</t>
        </r>
        <r>
          <rPr>
            <sz val="11"/>
            <color rgb="FF000000"/>
            <rFont val="Arial"/>
            <family val="2"/>
          </rPr>
          <t xml:space="preserve">
</t>
        </r>
        <r>
          <rPr>
            <sz val="11"/>
            <color rgb="FF000000"/>
            <rFont val="Arial"/>
            <family val="2"/>
          </rPr>
          <t>Submittal: Cut sheet of all finish coatings used.</t>
        </r>
      </text>
    </comment>
    <comment ref="D30" authorId="0" shapeId="0" xr:uid="{00000000-0006-0000-0C00-000011000000}">
      <text>
        <r>
          <rPr>
            <sz val="10"/>
            <color rgb="FF000000"/>
            <rFont val="Arial"/>
            <family val="2"/>
          </rPr>
          <t xml:space="preserve">Requirement:  100% of all sealants used are ≤ 250 g/l and adhesives ≤ 70 g/l. If adhesives and sealants
</t>
        </r>
        <r>
          <rPr>
            <sz val="10"/>
            <color rgb="FF000000"/>
            <rFont val="Arial"/>
            <family val="2"/>
          </rPr>
          <t xml:space="preserve">do not comply with these numbers but comply with the table from H3.3, then the point
</t>
        </r>
        <r>
          <rPr>
            <sz val="10"/>
            <color rgb="FF000000"/>
            <rFont val="Arial"/>
            <family val="2"/>
          </rPr>
          <t xml:space="preserve">is available.  
</t>
        </r>
        <r>
          <rPr>
            <sz val="10"/>
            <color rgb="FF000000"/>
            <rFont val="Arial"/>
            <family val="2"/>
          </rPr>
          <t xml:space="preserve">
</t>
        </r>
        <r>
          <rPr>
            <sz val="10"/>
            <color rgb="FF000000"/>
            <rFont val="Arial"/>
            <family val="2"/>
          </rPr>
          <t xml:space="preserve">Points: 1
</t>
        </r>
        <r>
          <rPr>
            <sz val="10"/>
            <color rgb="FF000000"/>
            <rFont val="Arial"/>
            <family val="2"/>
          </rPr>
          <t>Submittal: Cut sheet of all sealants and adhesives used.</t>
        </r>
        <r>
          <rPr>
            <sz val="11"/>
            <color rgb="FF000000"/>
            <rFont val="Arial"/>
            <family val="2"/>
          </rPr>
          <t xml:space="preserve">
</t>
        </r>
      </text>
    </comment>
    <comment ref="D31" authorId="0" shapeId="0" xr:uid="{00000000-0006-0000-0C00-000012000000}">
      <text>
        <r>
          <rPr>
            <b/>
            <sz val="10"/>
            <color rgb="FF000000"/>
            <rFont val="Arial"/>
            <family val="2"/>
          </rPr>
          <t>H3.05 Minimize Carpet Use</t>
        </r>
        <r>
          <rPr>
            <sz val="10"/>
            <color rgb="FF000000"/>
            <rFont val="Arial"/>
            <family val="2"/>
          </rPr>
          <t xml:space="preserve">
</t>
        </r>
        <r>
          <rPr>
            <b/>
            <sz val="10"/>
            <color rgb="FF000000"/>
            <rFont val="Arial"/>
            <family val="2"/>
          </rPr>
          <t>Requirement:</t>
        </r>
        <r>
          <rPr>
            <sz val="10"/>
            <color rgb="FF000000"/>
            <rFont val="Arial"/>
            <family val="2"/>
          </rPr>
          <t xml:space="preserve">  Home has less than 50% carpet installed in interior spaces, bonus point if no carpet installed.  
</t>
        </r>
        <r>
          <rPr>
            <b/>
            <sz val="10"/>
            <color rgb="FF000000"/>
            <rFont val="Arial"/>
            <family val="2"/>
          </rPr>
          <t xml:space="preserve">Points: 1 point if carpet &lt; 50%
</t>
        </r>
        <r>
          <rPr>
            <b/>
            <sz val="10"/>
            <color rgb="FF000000"/>
            <rFont val="Arial"/>
            <family val="2"/>
          </rPr>
          <t xml:space="preserve"> 2 point if no carpet</t>
        </r>
        <r>
          <rPr>
            <sz val="10"/>
            <color rgb="FF000000"/>
            <rFont val="Arial"/>
            <family val="2"/>
          </rPr>
          <t xml:space="preserve">
</t>
        </r>
        <r>
          <rPr>
            <sz val="10"/>
            <color rgb="FF000000"/>
            <rFont val="Arial"/>
            <family val="2"/>
          </rPr>
          <t xml:space="preserve">H3.05 Minimize Carpet Use
</t>
        </r>
        <r>
          <rPr>
            <sz val="10"/>
            <color rgb="FF000000"/>
            <rFont val="Arial"/>
            <family val="2"/>
          </rPr>
          <t xml:space="preserve">Requirement:  Home has less than 50% carpet installed in interior spaces, bonus point if no carpet installed.  
</t>
        </r>
        <r>
          <rPr>
            <sz val="10"/>
            <color rgb="FF000000"/>
            <rFont val="Arial"/>
            <family val="2"/>
          </rPr>
          <t xml:space="preserve">Points: 1 point if carpet &lt; 50%
</t>
        </r>
        <r>
          <rPr>
            <sz val="10"/>
            <color rgb="FF000000"/>
            <rFont val="Arial"/>
            <family val="2"/>
          </rPr>
          <t xml:space="preserve"> 2 point if no carpet
</t>
        </r>
        <r>
          <rPr>
            <b/>
            <sz val="10"/>
            <color rgb="FF000000"/>
            <rFont val="Arial"/>
            <family val="2"/>
          </rPr>
          <t>Intent:</t>
        </r>
        <r>
          <rPr>
            <sz val="10"/>
            <color rgb="FF000000"/>
            <rFont val="Arial"/>
            <family val="2"/>
          </rPr>
          <t xml:space="preserve"> Certain types of carpet, carpet pad, tack strips, and carpet glues emit VOCs that can contribute to poor indoor air quality.  Carpets also have been found to accumulate various allergens unless frequently vacuumed with high efficiency equipment.  
</t>
        </r>
        <r>
          <rPr>
            <b/>
            <sz val="10"/>
            <color rgb="FF000000"/>
            <rFont val="Arial"/>
            <family val="2"/>
          </rPr>
          <t>Submittals:</t>
        </r>
        <r>
          <rPr>
            <sz val="10"/>
            <color rgb="FF000000"/>
            <rFont val="Arial"/>
            <family val="2"/>
          </rPr>
          <t xml:space="preserve"> None required – visual inspection by Certifying Agent.
</t>
        </r>
        <r>
          <rPr>
            <sz val="10"/>
            <color rgb="FF000000"/>
            <rFont val="Arial"/>
            <family val="2"/>
          </rPr>
          <t xml:space="preserve"> Certain types of carpet, carpet pad, tack strips, and carpet glues emit VOCs that can contribute to poor indoor air quality.  Carpets also have been found to accumulate various allergens unless frequently vacuumed with high efficiency equipment.  
</t>
        </r>
        <r>
          <rPr>
            <b/>
            <sz val="10"/>
            <color rgb="FF000000"/>
            <rFont val="Arial"/>
            <family val="2"/>
          </rPr>
          <t>Submittals:</t>
        </r>
        <r>
          <rPr>
            <sz val="10"/>
            <color rgb="FF000000"/>
            <rFont val="Arial"/>
            <family val="2"/>
          </rPr>
          <t xml:space="preserve"> None required – visual inspection by Certifying Agent.
</t>
        </r>
      </text>
    </comment>
    <comment ref="D32" authorId="0" shapeId="0" xr:uid="{00000000-0006-0000-0C00-000013000000}">
      <text>
        <r>
          <rPr>
            <b/>
            <sz val="10"/>
            <color indexed="81"/>
            <rFont val="Arial"/>
            <family val="2"/>
          </rPr>
          <t>H3.06 Healthy Flooring</t>
        </r>
        <r>
          <rPr>
            <sz val="10"/>
            <color indexed="81"/>
            <rFont val="Arial"/>
            <family val="2"/>
          </rPr>
          <t xml:space="preserve">
</t>
        </r>
        <r>
          <rPr>
            <b/>
            <sz val="10"/>
            <color indexed="81"/>
            <rFont val="Arial"/>
            <family val="2"/>
          </rPr>
          <t xml:space="preserve">Requirement: </t>
        </r>
        <r>
          <rPr>
            <sz val="10"/>
            <color indexed="81"/>
            <rFont val="Arial"/>
            <family val="2"/>
          </rPr>
          <t xml:space="preserve">80% of all finished flooring is green certified, or is hard surface flooring as listed below:
• Carpet and cushion with Carpet and Rug Institute (CRI) green seal of approval and
low-VOC or no adhesives are used for installation.
• Flooring certified under the Floor Score® program
• Linoleum or cork tile/sheet with water-based adhesive.
• Ceramic tile.
• Hard surface flooring (wood, bamboo, etc.) that is mechanically fastened or
attached with a water-based adhesive. Engineered wood flooring or bamboo must
be a no added formaldehyde product.
• Laminate flooring (wood, cork, etc.) with no urea-formaldehyde and glueless or
water-based glue installation.
• Concrete (stamped, stained, etc.)
</t>
        </r>
        <r>
          <rPr>
            <b/>
            <sz val="10"/>
            <color indexed="81"/>
            <rFont val="Arial"/>
            <family val="2"/>
          </rPr>
          <t>Points: 1</t>
        </r>
        <r>
          <rPr>
            <sz val="10"/>
            <color indexed="81"/>
            <rFont val="Arial"/>
            <family val="2"/>
          </rPr>
          <t xml:space="preserve">
</t>
        </r>
        <r>
          <rPr>
            <b/>
            <sz val="10"/>
            <color indexed="81"/>
            <rFont val="Arial"/>
            <family val="2"/>
          </rPr>
          <t xml:space="preserve">Intent: </t>
        </r>
        <r>
          <rPr>
            <sz val="10"/>
            <color indexed="81"/>
            <rFont val="Arial"/>
            <family val="2"/>
          </rPr>
          <t xml:space="preserve">Provide a healthy indoor environment
</t>
        </r>
        <r>
          <rPr>
            <b/>
            <sz val="10"/>
            <color indexed="81"/>
            <rFont val="Arial"/>
            <family val="2"/>
          </rPr>
          <t xml:space="preserve">Submittals: </t>
        </r>
        <r>
          <rPr>
            <sz val="10"/>
            <color indexed="81"/>
            <rFont val="Arial"/>
            <family val="2"/>
          </rPr>
          <t>Listing of types of flooring, installation methods, and accessories (glues, etc.) used for
installation.</t>
        </r>
      </text>
    </comment>
    <comment ref="D33" authorId="0" shapeId="0" xr:uid="{00000000-0006-0000-0C00-000014000000}">
      <text>
        <r>
          <rPr>
            <b/>
            <sz val="10"/>
            <color rgb="FF000000"/>
            <rFont val="Arial"/>
            <family val="2"/>
          </rPr>
          <t>H3.07 Healthy Insulation</t>
        </r>
        <r>
          <rPr>
            <sz val="10"/>
            <color rgb="FF000000"/>
            <rFont val="Arial"/>
            <family val="2"/>
          </rPr>
          <t xml:space="preserve">
</t>
        </r>
        <r>
          <rPr>
            <b/>
            <sz val="10"/>
            <color rgb="FF000000"/>
            <rFont val="Arial"/>
            <family val="2"/>
          </rPr>
          <t>Requirement:</t>
        </r>
        <r>
          <rPr>
            <sz val="10"/>
            <color rgb="FF000000"/>
            <rFont val="Arial"/>
            <family val="2"/>
          </rPr>
          <t xml:space="preserve"> 100% of insulation installed must meet criteria below.
</t>
        </r>
        <r>
          <rPr>
            <sz val="10"/>
            <color rgb="FF000000"/>
            <rFont val="Arial"/>
            <family val="2"/>
          </rPr>
          <t xml:space="preserve">• Water sprayed foam insulation
</t>
        </r>
        <r>
          <rPr>
            <sz val="10"/>
            <color rgb="FF000000"/>
            <rFont val="Arial"/>
            <family val="2"/>
          </rPr>
          <t xml:space="preserve">• Formaldehyde-free fiberglass insulation
</t>
        </r>
        <r>
          <rPr>
            <sz val="10"/>
            <color rgb="FF000000"/>
            <rFont val="Arial"/>
            <family val="2"/>
          </rPr>
          <t xml:space="preserve">• Expanded Polystyrene (XPS)
</t>
        </r>
        <r>
          <rPr>
            <sz val="10"/>
            <color rgb="FF000000"/>
            <rFont val="Arial"/>
            <family val="2"/>
          </rPr>
          <t xml:space="preserve">• GREENGUARD certified insulation
</t>
        </r>
        <r>
          <rPr>
            <sz val="10"/>
            <color rgb="FF000000"/>
            <rFont val="Arial"/>
            <family val="2"/>
          </rPr>
          <t xml:space="preserve">• Cotton insulation
</t>
        </r>
        <r>
          <rPr>
            <b/>
            <sz val="10"/>
            <color rgb="FF000000"/>
            <rFont val="Arial"/>
            <family val="2"/>
          </rPr>
          <t>Points: 1</t>
        </r>
        <r>
          <rPr>
            <sz val="10"/>
            <color rgb="FF000000"/>
            <rFont val="Arial"/>
            <family val="2"/>
          </rPr>
          <t xml:space="preserve">
</t>
        </r>
        <r>
          <rPr>
            <b/>
            <sz val="10"/>
            <color rgb="FF000000"/>
            <rFont val="Arial"/>
            <family val="2"/>
          </rPr>
          <t>Intent:</t>
        </r>
        <r>
          <rPr>
            <sz val="10"/>
            <color rgb="FF000000"/>
            <rFont val="Arial"/>
            <family val="2"/>
          </rPr>
          <t xml:space="preserve"> Depending on the goals of the project, one may want to select points for Eco-friendly insulation listed under the Materials category rather than this Healthy Insulation criterion. Points are not available for both criteria.
</t>
        </r>
        <r>
          <rPr>
            <b/>
            <sz val="10"/>
            <color rgb="FF000000"/>
            <rFont val="Arial"/>
            <family val="2"/>
          </rPr>
          <t>Submittals:</t>
        </r>
        <r>
          <rPr>
            <sz val="10"/>
            <color rgb="FF000000"/>
            <rFont val="Arial"/>
            <family val="2"/>
          </rPr>
          <t xml:space="preserve"> Listing of types of insulation used.</t>
        </r>
      </text>
    </comment>
    <comment ref="D34" authorId="0" shapeId="0" xr:uid="{00000000-0006-0000-0C00-000015000000}">
      <text>
        <r>
          <rPr>
            <sz val="11"/>
            <color rgb="FF000000"/>
            <rFont val="Arial"/>
            <family val="2"/>
          </rPr>
          <t xml:space="preserve">Requirement: All duct register boxes, supply plenums, and liner boxes are sealed off with cardboard, rigid ductboard, or other suitable method directly following mechanical rough in. The temporary tape used to seal the registers during a smoke test does not comply. Ducts must remain sealed until HVAC system start-up. This step prevents construction dust and pollutants from accumulating in the duct system and being released into the air when the system is turned on. If interior finish work (painting, etc.) continues after HVAC start up, ducts must be re-sealed until work is complete.
</t>
        </r>
        <r>
          <rPr>
            <sz val="11"/>
            <color rgb="FF000000"/>
            <rFont val="Arial"/>
            <family val="2"/>
          </rPr>
          <t xml:space="preserve">Points: 1
</t>
        </r>
        <r>
          <rPr>
            <sz val="11"/>
            <color rgb="FF000000"/>
            <rFont val="Arial"/>
            <family val="2"/>
          </rPr>
          <t xml:space="preserve">Intent: Prevent accumulation of pollutants and the damper and/or the blower fan from
</t>
        </r>
        <r>
          <rPr>
            <sz val="11"/>
            <color rgb="FF000000"/>
            <rFont val="Arial"/>
            <family val="2"/>
          </rPr>
          <t xml:space="preserve">becoming clogged from spray-on ceiling textures, etc.
</t>
        </r>
        <r>
          <rPr>
            <sz val="11"/>
            <color rgb="FF000000"/>
            <rFont val="Arial"/>
            <family val="2"/>
          </rPr>
          <t>Submittals: Photo</t>
        </r>
      </text>
    </comment>
    <comment ref="D35" authorId="2" shapeId="0" xr:uid="{00000000-0006-0000-0C00-000016000000}">
      <text>
        <r>
          <rPr>
            <sz val="9"/>
            <color rgb="FF000000"/>
            <rFont val="Tahoma"/>
            <family val="2"/>
          </rPr>
          <t xml:space="preserve">The following are required to comply with the FGBC IPM Credit.
</t>
        </r>
        <r>
          <rPr>
            <sz val="9"/>
            <color rgb="FF000000"/>
            <rFont val="Tahoma"/>
            <family val="2"/>
          </rPr>
          <t xml:space="preserve">List the integrated multiple control methods that will be used as a part of the Integrated Pest Management process based on site information, circumstantial pest prevention goals and eradication needs.
</t>
        </r>
        <r>
          <rPr>
            <sz val="9"/>
            <color rgb="FF000000"/>
            <rFont val="Tahoma"/>
            <family val="2"/>
          </rPr>
          <t xml:space="preserve">The plan must identify the following as a part of the implementation approach.
</t>
        </r>
        <r>
          <rPr>
            <b/>
            <sz val="9"/>
            <color rgb="FF000000"/>
            <rFont val="Tahoma"/>
            <family val="2"/>
          </rPr>
          <t>1. Identify Pest and Monitor Progress</t>
        </r>
        <r>
          <rPr>
            <sz val="9"/>
            <color rgb="FF000000"/>
            <rFont val="Tahoma"/>
            <family val="2"/>
          </rPr>
          <t xml:space="preserve">
</t>
        </r>
        <r>
          <rPr>
            <sz val="9"/>
            <color rgb="FF000000"/>
            <rFont val="Tahoma"/>
            <family val="2"/>
          </rPr>
          <t xml:space="preserve">Identify the pest addressed by the IPM plan, the frequency of monitoring, and the party responsible for monitoring the success of the IPM program.
</t>
        </r>
        <r>
          <rPr>
            <sz val="9"/>
            <color rgb="FF000000"/>
            <rFont val="Tahoma"/>
            <family val="2"/>
          </rPr>
          <t xml:space="preserve">Monitoring shall include pest populations, vulnerable areas, and the efficacy of prevention and control methods. The IPM shall be updated on an annual basis to reflect site specific needs.
</t>
        </r>
        <r>
          <rPr>
            <b/>
            <sz val="9"/>
            <color rgb="FF000000"/>
            <rFont val="Tahoma"/>
            <family val="2"/>
          </rPr>
          <t>2. Set Action Thresholds</t>
        </r>
        <r>
          <rPr>
            <sz val="9"/>
            <color rgb="FF000000"/>
            <rFont val="Tahoma"/>
            <family val="2"/>
          </rPr>
          <t xml:space="preserve">
</t>
        </r>
        <r>
          <rPr>
            <sz val="9"/>
            <color rgb="FF000000"/>
            <rFont val="Tahoma"/>
            <family val="2"/>
          </rPr>
          <t xml:space="preserve">State an action threshold, including size, scope, and intensity, of the pest population level at which the pest’s presence is a nuisance, health hazard, or economic threat.
</t>
        </r>
        <r>
          <rPr>
            <b/>
            <sz val="9"/>
            <color rgb="FF000000"/>
            <rFont val="Tahoma"/>
            <family val="2"/>
          </rPr>
          <t>3. Prevent</t>
        </r>
        <r>
          <rPr>
            <sz val="9"/>
            <color rgb="FF000000"/>
            <rFont val="Tahoma"/>
            <family val="2"/>
          </rPr>
          <t xml:space="preserve">
</t>
        </r>
        <r>
          <rPr>
            <sz val="9"/>
            <color rgb="FF000000"/>
            <rFont val="Tahoma"/>
            <family val="2"/>
          </rPr>
          <t xml:space="preserve">IPM focuses on prevention by removing conditions that attract pests, such as food, water, and shelter. The IPM must address and FGBC Certifying Agents will verify the following:
</t>
        </r>
        <r>
          <rPr>
            <sz val="9"/>
            <color rgb="FF000000"/>
            <rFont val="Tahoma"/>
            <family val="2"/>
          </rPr>
          <t xml:space="preserve">• Sealing areas where pests enter the building (weatherization)
</t>
        </r>
        <r>
          <rPr>
            <sz val="9"/>
            <color rgb="FF000000"/>
            <rFont val="Tahoma"/>
            <family val="2"/>
          </rPr>
          <t xml:space="preserve">• Installing pest barriers
</t>
        </r>
        <r>
          <rPr>
            <sz val="9"/>
            <color rgb="FF000000"/>
            <rFont val="Tahoma"/>
            <family val="2"/>
          </rPr>
          <t xml:space="preserve">• Removing standing water
</t>
        </r>
        <r>
          <rPr>
            <sz val="9"/>
            <color rgb="FF000000"/>
            <rFont val="Tahoma"/>
            <family val="2"/>
          </rPr>
          <t xml:space="preserve">• Educating building occupants on IPM – Section in Home Owner’s Manual
</t>
        </r>
        <r>
          <rPr>
            <sz val="9"/>
            <color rgb="FF000000"/>
            <rFont val="Tahoma"/>
            <family val="2"/>
          </rPr>
          <t xml:space="preserve">o Reducing clutter
</t>
        </r>
        <r>
          <rPr>
            <sz val="9"/>
            <color rgb="FF000000"/>
            <rFont val="Tahoma"/>
            <family val="2"/>
          </rPr>
          <t xml:space="preserve">o Removing trash and overgrown vegetation
</t>
        </r>
        <r>
          <rPr>
            <sz val="9"/>
            <color rgb="FF000000"/>
            <rFont val="Tahoma"/>
            <family val="2"/>
          </rPr>
          <t xml:space="preserve">o Maintaining clean dining and food storage areas
</t>
        </r>
        <r>
          <rPr>
            <b/>
            <sz val="9"/>
            <color rgb="FF000000"/>
            <rFont val="Tahoma"/>
            <family val="2"/>
          </rPr>
          <t>4. Control</t>
        </r>
        <r>
          <rPr>
            <sz val="9"/>
            <color rgb="FF000000"/>
            <rFont val="Tahoma"/>
            <family val="2"/>
          </rPr>
          <t xml:space="preserve">
</t>
        </r>
        <r>
          <rPr>
            <sz val="9"/>
            <color rgb="FF000000"/>
            <rFont val="Tahoma"/>
            <family val="2"/>
          </rPr>
          <t>Document how, if pest action thresholds are exceeded, pest controls such as pest trapping, treatment, or other modifications have been made to improve prevention and address reestablishing acceptable thresholds.</t>
        </r>
      </text>
    </comment>
    <comment ref="D38" authorId="0" shapeId="0" xr:uid="{00000000-0006-0000-0C00-000017000000}">
      <text>
        <r>
          <rPr>
            <sz val="10"/>
            <color rgb="FF000000"/>
            <rFont val="Arial"/>
            <family val="2"/>
          </rPr>
          <t xml:space="preserve">Requirement:  
</t>
        </r>
        <r>
          <rPr>
            <sz val="10"/>
            <color rgb="FF000000"/>
            <rFont val="Arial"/>
            <family val="2"/>
          </rPr>
          <t xml:space="preserve">Home contains the piping (rough-in) for a central vacuum system)
</t>
        </r>
        <r>
          <rPr>
            <sz val="10"/>
            <color rgb="FF000000"/>
            <rFont val="Arial"/>
            <family val="2"/>
          </rPr>
          <t xml:space="preserve">
</t>
        </r>
        <r>
          <rPr>
            <sz val="10"/>
            <color rgb="FF000000"/>
            <rFont val="Arial"/>
            <family val="2"/>
          </rPr>
          <t xml:space="preserve">OR
</t>
        </r>
        <r>
          <rPr>
            <sz val="10"/>
            <color rgb="FF000000"/>
            <rFont val="Arial"/>
            <family val="2"/>
          </rPr>
          <t xml:space="preserve">
</t>
        </r>
        <r>
          <rPr>
            <sz val="10"/>
            <color rgb="FF000000"/>
            <rFont val="Arial"/>
            <family val="2"/>
          </rPr>
          <t xml:space="preserve">an additional point is available if the central vacuum system with the vent from the dust canister exhausting to the outside of the conditioned space is installed.  This points can be obtained if the unit vents inside the home through a HEPA filter.
</t>
        </r>
        <r>
          <rPr>
            <sz val="10"/>
            <color rgb="FF000000"/>
            <rFont val="Arial"/>
            <family val="2"/>
          </rPr>
          <t xml:space="preserve">
</t>
        </r>
        <r>
          <rPr>
            <sz val="10"/>
            <color rgb="FF000000"/>
            <rFont val="Arial"/>
            <family val="2"/>
          </rPr>
          <t xml:space="preserve">Points: 
</t>
        </r>
        <r>
          <rPr>
            <sz val="10"/>
            <color rgb="FF000000"/>
            <rFont val="Arial"/>
            <family val="2"/>
          </rPr>
          <t xml:space="preserve">1 for rough-in of piping
</t>
        </r>
        <r>
          <rPr>
            <sz val="10"/>
            <color rgb="FF000000"/>
            <rFont val="Arial"/>
            <family val="2"/>
          </rPr>
          <t xml:space="preserve">2 if complete system is installed with correct filtration </t>
        </r>
        <r>
          <rPr>
            <sz val="11"/>
            <color rgb="FF000000"/>
            <rFont val="Arial"/>
            <family val="2"/>
          </rPr>
          <t xml:space="preserve">
</t>
        </r>
        <r>
          <rPr>
            <sz val="9"/>
            <color rgb="FF000000"/>
            <rFont val="Tahoma"/>
            <family val="2"/>
          </rPr>
          <t xml:space="preserve">
</t>
        </r>
      </text>
    </comment>
    <comment ref="D41" authorId="0" shapeId="0" xr:uid="{00000000-0006-0000-0C00-000018000000}">
      <text>
        <r>
          <rPr>
            <sz val="10"/>
            <color rgb="FF000000"/>
            <rFont val="Arial"/>
            <family val="2"/>
          </rPr>
          <t xml:space="preserve">Requirement:  
</t>
        </r>
        <r>
          <rPr>
            <sz val="10"/>
            <color rgb="FF000000"/>
            <rFont val="Arial"/>
            <family val="2"/>
          </rPr>
          <t xml:space="preserve">Provide a well-defined entry area in the garage and/or main entry where shoes and outerwear can be removed and stored.  This area should include a track-off mat, a bench, and shoe and outerwear storage. Alternately, the shoe and outerwear storage can be located in a nearby closet.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44" authorId="0" shapeId="0" xr:uid="{00000000-0006-0000-0C00-000019000000}">
      <text>
        <r>
          <rPr>
            <sz val="9"/>
            <color rgb="FF000000"/>
            <rFont val="Arial"/>
            <family val="2"/>
          </rPr>
          <t xml:space="preserve">Refer to Reference Guide for requirements
</t>
        </r>
        <r>
          <rPr>
            <sz val="9"/>
            <color rgb="FF000000"/>
            <rFont val="Arial"/>
            <family val="2"/>
          </rPr>
          <t xml:space="preserve">
</t>
        </r>
        <r>
          <rPr>
            <sz val="9"/>
            <color rgb="FF000000"/>
            <rFont val="Arial"/>
            <family val="2"/>
          </rPr>
          <t xml:space="preserve">Requirement:  At least one bathroom on the first floor conforms to the following specifications: 
</t>
        </r>
        <r>
          <rPr>
            <sz val="9"/>
            <color rgb="FF000000"/>
            <rFont val="Arial"/>
            <family val="2"/>
          </rPr>
          <t xml:space="preserve"> Group 1
</t>
        </r>
        <r>
          <rPr>
            <sz val="9"/>
            <color rgb="FF000000"/>
            <rFont val="Arial"/>
            <family val="2"/>
          </rPr>
          <t xml:space="preserve">• Ample clear floor space (5 x 5 foot turning radius) to ensure maneuverability at lavatories, toilets, and tubs/showers
</t>
        </r>
        <r>
          <rPr>
            <sz val="9"/>
            <color rgb="FF000000"/>
            <rFont val="Arial"/>
            <family val="2"/>
          </rPr>
          <t xml:space="preserve">• The bathroom walls must be reinforced for grab bars which are installed at commode, tub, and shower (FGBC recommends following the ADAAG for height and size specifications).
</t>
        </r>
        <r>
          <rPr>
            <sz val="9"/>
            <color rgb="FF000000"/>
            <rFont val="Arial"/>
            <family val="2"/>
          </rPr>
          <t xml:space="preserve">• 32 inch minimum door width; 36 inches preferred
</t>
        </r>
        <r>
          <rPr>
            <sz val="9"/>
            <color rgb="FF000000"/>
            <rFont val="Arial"/>
            <family val="2"/>
          </rPr>
          <t xml:space="preserve">• 24 inch space on latch side of doors or automatic door opener
</t>
        </r>
        <r>
          <rPr>
            <sz val="9"/>
            <color rgb="FF000000"/>
            <rFont val="Arial"/>
            <family val="2"/>
          </rPr>
          <t xml:space="preserve">• Light switches 38 inches above the floor
</t>
        </r>
        <r>
          <rPr>
            <sz val="9"/>
            <color rgb="FF000000"/>
            <rFont val="Arial"/>
            <family val="2"/>
          </rPr>
          <t xml:space="preserve">• Lever handles on doors or doors without latches
</t>
        </r>
        <r>
          <rPr>
            <sz val="9"/>
            <color rgb="FF000000"/>
            <rFont val="Arial"/>
            <family val="2"/>
          </rPr>
          <t xml:space="preserve">• Rocker or touch switches
</t>
        </r>
        <r>
          <rPr>
            <sz val="9"/>
            <color rgb="FF000000"/>
            <rFont val="Arial"/>
            <family val="2"/>
          </rPr>
          <t xml:space="preserve">• Include at least one of the following options
</t>
        </r>
        <r>
          <rPr>
            <sz val="9"/>
            <color rgb="FF000000"/>
            <rFont val="Arial"/>
            <family val="2"/>
          </rPr>
          <t xml:space="preserve">• Standard tub with a fold-up seat
</t>
        </r>
        <r>
          <rPr>
            <sz val="9"/>
            <color rgb="FF000000"/>
            <rFont val="Arial"/>
            <family val="2"/>
          </rPr>
          <t xml:space="preserve">• Tub with a transfer seat
</t>
        </r>
        <r>
          <rPr>
            <sz val="9"/>
            <color rgb="FF000000"/>
            <rFont val="Arial"/>
            <family val="2"/>
          </rPr>
          <t xml:space="preserve">• Whirlpool tub
</t>
        </r>
        <r>
          <rPr>
            <sz val="9"/>
            <color rgb="FF000000"/>
            <rFont val="Arial"/>
            <family val="2"/>
          </rPr>
          <t xml:space="preserve">• 3 x 3 foot transfer shower
</t>
        </r>
        <r>
          <rPr>
            <sz val="9"/>
            <color rgb="FF000000"/>
            <rFont val="Arial"/>
            <family val="2"/>
          </rPr>
          <t xml:space="preserve">• 5 x 5 foot roll-in shower
</t>
        </r>
        <r>
          <rPr>
            <sz val="9"/>
            <color rgb="FF000000"/>
            <rFont val="Arial"/>
            <family val="2"/>
          </rPr>
          <t xml:space="preserve">
</t>
        </r>
        <r>
          <rPr>
            <sz val="9"/>
            <color rgb="FF000000"/>
            <rFont val="Arial"/>
            <family val="2"/>
          </rPr>
          <t xml:space="preserve">Group 2 - the above bathroom specs are met and at least one bedroom on the first floor must conform to the following specifications:
</t>
        </r>
        <r>
          <rPr>
            <sz val="9"/>
            <color rgb="FF000000"/>
            <rFont val="Arial"/>
            <family val="2"/>
          </rPr>
          <t xml:space="preserve">• 32 inch minimum door width; 36 inches preferred
</t>
        </r>
        <r>
          <rPr>
            <sz val="9"/>
            <color rgb="FF000000"/>
            <rFont val="Arial"/>
            <family val="2"/>
          </rPr>
          <t xml:space="preserve">• 24 inch space on latch side of doors
</t>
        </r>
        <r>
          <rPr>
            <sz val="9"/>
            <color rgb="FF000000"/>
            <rFont val="Arial"/>
            <family val="2"/>
          </rPr>
          <t xml:space="preserve">• Light switches 38 inches above the floor
</t>
        </r>
        <r>
          <rPr>
            <sz val="9"/>
            <color rgb="FF000000"/>
            <rFont val="Arial"/>
            <family val="2"/>
          </rPr>
          <t xml:space="preserve">• Electrical outlets 18 inches above the floor
</t>
        </r>
        <r>
          <rPr>
            <sz val="9"/>
            <color rgb="FF000000"/>
            <rFont val="Arial"/>
            <family val="2"/>
          </rPr>
          <t xml:space="preserve">• Lever handles on doors or doors without latches
</t>
        </r>
        <r>
          <rPr>
            <sz val="9"/>
            <color rgb="FF000000"/>
            <rFont val="Arial"/>
            <family val="2"/>
          </rPr>
          <t xml:space="preserve">• Rocker or touch switches
</t>
        </r>
        <r>
          <rPr>
            <sz val="9"/>
            <color rgb="FF000000"/>
            <rFont val="Arial"/>
            <family val="2"/>
          </rPr>
          <t xml:space="preserve">
</t>
        </r>
        <r>
          <rPr>
            <sz val="9"/>
            <color rgb="FF000000"/>
            <rFont val="Arial"/>
            <family val="2"/>
          </rPr>
          <t xml:space="preserve">Group 3  - the above bathroom and bedroom specs are met and the entire first floor living space conforms to the following specifications:
</t>
        </r>
        <r>
          <rPr>
            <sz val="9"/>
            <color rgb="FF000000"/>
            <rFont val="Arial"/>
            <family val="2"/>
          </rPr>
          <t xml:space="preserve">• 32 inch minimum door width; 36 inches preferred
</t>
        </r>
        <r>
          <rPr>
            <sz val="9"/>
            <color rgb="FF000000"/>
            <rFont val="Arial"/>
            <family val="2"/>
          </rPr>
          <t xml:space="preserve">• 24 inch space on latch side of doors
</t>
        </r>
        <r>
          <rPr>
            <sz val="9"/>
            <color rgb="FF000000"/>
            <rFont val="Arial"/>
            <family val="2"/>
          </rPr>
          <t xml:space="preserve">• 32 inch wide circulation path
</t>
        </r>
        <r>
          <rPr>
            <sz val="9"/>
            <color rgb="FF000000"/>
            <rFont val="Arial"/>
            <family val="2"/>
          </rPr>
          <t xml:space="preserve">• 48 inch clearance in hallway
</t>
        </r>
        <r>
          <rPr>
            <sz val="9"/>
            <color rgb="FF000000"/>
            <rFont val="Arial"/>
            <family val="2"/>
          </rPr>
          <t xml:space="preserve">• 5 x 5 foot turning radius in activity areas
</t>
        </r>
        <r>
          <rPr>
            <sz val="9"/>
            <color rgb="FF000000"/>
            <rFont val="Arial"/>
            <family val="2"/>
          </rPr>
          <t xml:space="preserve">• Light switches 38 inches above the floor
</t>
        </r>
        <r>
          <rPr>
            <sz val="9"/>
            <color rgb="FF000000"/>
            <rFont val="Arial"/>
            <family val="2"/>
          </rPr>
          <t xml:space="preserve">• Electrical outlets 18 inches above the floor
</t>
        </r>
        <r>
          <rPr>
            <sz val="9"/>
            <color rgb="FF000000"/>
            <rFont val="Arial"/>
            <family val="2"/>
          </rPr>
          <t xml:space="preserve">• Lever handles on doors or doors without latches
</t>
        </r>
        <r>
          <rPr>
            <sz val="9"/>
            <color rgb="FF000000"/>
            <rFont val="Arial"/>
            <family val="2"/>
          </rPr>
          <t xml:space="preserve">• Rocker or touch switches
</t>
        </r>
        <r>
          <rPr>
            <sz val="9"/>
            <color rgb="FF000000"/>
            <rFont val="Arial"/>
            <family val="2"/>
          </rPr>
          <t xml:space="preserve">
</t>
        </r>
        <r>
          <rPr>
            <sz val="9"/>
            <color rgb="FF000000"/>
            <rFont val="Arial"/>
            <family val="2"/>
          </rPr>
          <t xml:space="preserve">Points: 
</t>
        </r>
        <r>
          <rPr>
            <sz val="9"/>
            <color rgb="FF000000"/>
            <rFont val="Arial"/>
            <family val="2"/>
          </rPr>
          <t xml:space="preserve">1 point for Group 1
</t>
        </r>
        <r>
          <rPr>
            <sz val="9"/>
            <color rgb="FF000000"/>
            <rFont val="Arial"/>
            <family val="2"/>
          </rPr>
          <t xml:space="preserve">2 points for Group 1 &amp; 2
</t>
        </r>
        <r>
          <rPr>
            <sz val="9"/>
            <color rgb="FF000000"/>
            <rFont val="Arial"/>
            <family val="2"/>
          </rPr>
          <t xml:space="preserve">3 points for Group 1, 2 &amp; 3
</t>
        </r>
      </text>
    </comment>
    <comment ref="D47" authorId="0" shapeId="0" xr:uid="{00000000-0006-0000-0C00-00001A000000}">
      <text>
        <r>
          <rPr>
            <sz val="10"/>
            <color rgb="FF000000"/>
            <rFont val="Arial"/>
            <family val="2"/>
          </rPr>
          <t xml:space="preserve">Requirement: 
</t>
        </r>
        <r>
          <rPr>
            <sz val="10"/>
            <color rgb="FF000000"/>
            <rFont val="Arial"/>
            <family val="2"/>
          </rPr>
          <t xml:space="preserve">Install a mechanical ventilation system specifically designed for the home that positively pressurizes the conditioned area of the home with respect to the outdoors while the home’s air handler is running and any continuous forced exhaust systems are running. At a minimum, such a system must contain a fresh air duct to the outside of the home with a backdraft damper that also allows for full shut off in the event of unfavorable outside conditions (forest fire, etc.) and therefore if the damper is manual it must be easily accessible to the homeowner. The damper must have a gasket, allowing a complete seal in the off position. Alternately, delivery of the outside air can be controlled by the home’s HVAC system, by another device such as an energy recovery ventilator, or a central dehumidification system.
</t>
        </r>
        <r>
          <rPr>
            <sz val="10"/>
            <color rgb="FF000000"/>
            <rFont val="Arial"/>
            <family val="2"/>
          </rPr>
          <t xml:space="preserve">
</t>
        </r>
        <r>
          <rPr>
            <sz val="10"/>
            <color rgb="FF000000"/>
            <rFont val="Arial"/>
            <family val="2"/>
          </rPr>
          <t xml:space="preserve"> Required for 2 points
</t>
        </r>
        <r>
          <rPr>
            <sz val="10"/>
            <color rgb="FF000000"/>
            <rFont val="Arial"/>
            <family val="2"/>
          </rPr>
          <t xml:space="preserve">- Schematic or plan detail of system
</t>
        </r>
        <r>
          <rPr>
            <sz val="10"/>
            <color rgb="FF000000"/>
            <rFont val="Arial"/>
            <family val="2"/>
          </rPr>
          <t xml:space="preserve">
</t>
        </r>
        <r>
          <rPr>
            <sz val="10"/>
            <color rgb="FF000000"/>
            <rFont val="Arial"/>
            <family val="2"/>
          </rPr>
          <t xml:space="preserve">Required for 4 points (all are required) 
</t>
        </r>
        <r>
          <rPr>
            <sz val="10"/>
            <color rgb="FF000000"/>
            <rFont val="Arial"/>
            <family val="2"/>
          </rPr>
          <t xml:space="preserve">- Design flow, if not continuous, include schedule, and
</t>
        </r>
        <r>
          <rPr>
            <sz val="10"/>
            <color rgb="FF000000"/>
            <rFont val="Arial"/>
            <family val="2"/>
          </rPr>
          <t xml:space="preserve">- Basis for design flow, a short explanation, and
</t>
        </r>
        <r>
          <rPr>
            <sz val="10"/>
            <color rgb="FF000000"/>
            <rFont val="Arial"/>
            <family val="2"/>
          </rPr>
          <t xml:space="preserve">- Indication of implementation of designed flow, schematic or plan detail of system
</t>
        </r>
      </text>
    </comment>
    <comment ref="D49" authorId="0" shapeId="0" xr:uid="{00000000-0006-0000-0C00-00001C000000}">
      <text>
        <r>
          <rPr>
            <sz val="10"/>
            <color rgb="FF000000"/>
            <rFont val="Arial"/>
            <family val="2"/>
          </rPr>
          <t xml:space="preserve">Requirement: Floor Drains Sealed
</t>
        </r>
        <r>
          <rPr>
            <sz val="10"/>
            <color rgb="FF000000"/>
            <rFont val="Arial"/>
            <family val="2"/>
          </rPr>
          <t xml:space="preserve">All floor drains, at ground level, (tub, shower, etc.) must be sealed with any non-asphalt based or equally flexible moisture resistant sealer.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50" authorId="0" shapeId="0" xr:uid="{00000000-0006-0000-0C00-00001D000000}">
      <text>
        <r>
          <rPr>
            <sz val="10"/>
            <color rgb="FF000000"/>
            <rFont val="Arial"/>
            <family val="2"/>
          </rPr>
          <t xml:space="preserve">Requirement:
</t>
        </r>
        <r>
          <rPr>
            <sz val="10"/>
            <color rgb="FF000000"/>
            <rFont val="Arial"/>
            <family val="2"/>
          </rPr>
          <t xml:space="preserve">Properly install Energy Star®exhaust fans (high efficiency, low noise bathroom exhaust fans) with timers or humidistats in each bathroom throughout the home.  Fans must vent to the exterior and must move 1 cfm of air per 0.30 Watts (e.g., a 50 cfm fan must use less than 15 Watts, a 70 cfm fan must use less than 21 Watts) and be HVI certified to produce less than 1.0 sones. 
</t>
        </r>
        <r>
          <rPr>
            <sz val="10"/>
            <color rgb="FF000000"/>
            <rFont val="Arial"/>
            <family val="2"/>
          </rPr>
          <t xml:space="preserve">
</t>
        </r>
        <r>
          <rPr>
            <sz val="10"/>
            <color rgb="FF000000"/>
            <rFont val="Arial"/>
            <family val="2"/>
          </rPr>
          <t xml:space="preserve">Proper installation includes:
</t>
        </r>
        <r>
          <rPr>
            <sz val="10"/>
            <color rgb="FF000000"/>
            <rFont val="Arial"/>
            <family val="2"/>
          </rPr>
          <t xml:space="preserve">1. Avoid elbows and bends whenever possible. When bends are necessary (and they often are), make the best of the situation by allowing a 2–3 foot straight run out of the fan before the first elbow. This approach allows airflow to be uniform before passing through the elbow. Conversely, an installation with a 90-degree elbow immediately after the fan exhaust port will cause air to flow back into the fan, both reducing performance and increasing noise. 
</t>
        </r>
        <r>
          <rPr>
            <sz val="10"/>
            <color rgb="FF000000"/>
            <rFont val="Arial"/>
            <family val="2"/>
          </rPr>
          <t xml:space="preserve">2. Use a wide-radius angle (not a sharp turn) to help ensure optimum performance and minimum noise. The goal is to achieve optimal fan performance, which means aiming for a smooth, inner surface duct with the least number of elbows. 
</t>
        </r>
        <r>
          <rPr>
            <sz val="10"/>
            <color rgb="FF000000"/>
            <rFont val="Arial"/>
            <family val="2"/>
          </rPr>
          <t xml:space="preserve">3. Although rigid metal duct is the best choice, flex duct is often used due to reduced cost and ease of installation. The flex duct should be extended fully to reduce as much air flow friction as possible.
</t>
        </r>
        <r>
          <rPr>
            <sz val="10"/>
            <color rgb="FF000000"/>
            <rFont val="Arial"/>
            <family val="2"/>
          </rPr>
          <t xml:space="preserve">
</t>
        </r>
        <r>
          <rPr>
            <sz val="10"/>
            <color rgb="FF000000"/>
            <rFont val="Arial"/>
            <family val="2"/>
          </rPr>
          <t xml:space="preserve">Points: 1
</t>
        </r>
      </text>
    </comment>
    <comment ref="D51" authorId="0" shapeId="0" xr:uid="{00000000-0006-0000-0C00-00001E000000}">
      <text>
        <r>
          <rPr>
            <sz val="10"/>
            <color rgb="FF000000"/>
            <rFont val="Arial"/>
            <family val="2"/>
          </rPr>
          <t xml:space="preserve">Requirement:  
</t>
        </r>
        <r>
          <rPr>
            <sz val="10"/>
            <color rgb="FF000000"/>
            <rFont val="Arial"/>
            <family val="2"/>
          </rPr>
          <t xml:space="preserve">Home equipped with a range hood vented to the exterior of the home. Hood ducting must be of building code-approved materials and completely sealed to prevent leakage. Exterior of vent must also contain building code approved termination cover. 
</t>
        </r>
        <r>
          <rPr>
            <sz val="10"/>
            <color rgb="FF000000"/>
            <rFont val="Arial"/>
            <family val="2"/>
          </rPr>
          <t xml:space="preserve">
</t>
        </r>
        <r>
          <rPr>
            <sz val="10"/>
            <color rgb="FF000000"/>
            <rFont val="Arial"/>
            <family val="2"/>
          </rPr>
          <t xml:space="preserve">Non-vented or ductless range hoods are not eligible for the point.
</t>
        </r>
        <r>
          <rPr>
            <sz val="10"/>
            <color rgb="FF000000"/>
            <rFont val="Arial"/>
            <family val="2"/>
          </rPr>
          <t xml:space="preserve">
</t>
        </r>
        <r>
          <rPr>
            <sz val="10"/>
            <color rgb="FF000000"/>
            <rFont val="Arial"/>
            <family val="2"/>
          </rPr>
          <t xml:space="preserve">Points: 1 
</t>
        </r>
        <r>
          <rPr>
            <sz val="9"/>
            <color rgb="FF000000"/>
            <rFont val="Tahoma"/>
            <family val="2"/>
          </rPr>
          <t xml:space="preserve">
</t>
        </r>
      </text>
    </comment>
    <comment ref="D52" authorId="0" shapeId="0" xr:uid="{00000000-0006-0000-0C00-00001F000000}">
      <text>
        <r>
          <rPr>
            <sz val="10"/>
            <color rgb="FF000000"/>
            <rFont val="Arial"/>
            <family val="2"/>
          </rPr>
          <t xml:space="preserve">Requirement: 
</t>
        </r>
        <r>
          <rPr>
            <sz val="10"/>
            <color rgb="FF000000"/>
            <rFont val="Arial"/>
            <family val="2"/>
          </rPr>
          <t xml:space="preserve">Laundry rooms contained inside conditioned space must have make up air source.  The make-up air source can be any of the following: 
</t>
        </r>
        <r>
          <rPr>
            <sz val="10"/>
            <color rgb="FF000000"/>
            <rFont val="Wingdings"/>
            <charset val="2"/>
          </rPr>
          <t>w</t>
        </r>
        <r>
          <rPr>
            <sz val="10"/>
            <color rgb="FF000000"/>
            <rFont val="Arial"/>
            <family val="2"/>
          </rPr>
          <t xml:space="preserve"> through the wall vent
</t>
        </r>
        <r>
          <rPr>
            <sz val="10"/>
            <color rgb="FF000000"/>
            <rFont val="Wingdings"/>
            <charset val="2"/>
          </rPr>
          <t>w</t>
        </r>
        <r>
          <rPr>
            <sz val="10"/>
            <color rgb="FF000000"/>
            <rFont val="Arial"/>
            <family val="2"/>
          </rPr>
          <t xml:space="preserve"> jump duct from adjoining room in home
</t>
        </r>
        <r>
          <rPr>
            <sz val="10"/>
            <color rgb="FF000000"/>
            <rFont val="Wingdings"/>
            <charset val="2"/>
          </rPr>
          <t>w</t>
        </r>
        <r>
          <rPr>
            <sz val="10"/>
            <color rgb="FF000000"/>
            <rFont val="Arial"/>
            <family val="2"/>
          </rPr>
          <t xml:space="preserve"> louvered door(s), or 
</t>
        </r>
        <r>
          <rPr>
            <sz val="10"/>
            <color rgb="FF000000"/>
            <rFont val="Wingdings"/>
            <charset val="2"/>
          </rPr>
          <t>w</t>
        </r>
        <r>
          <rPr>
            <sz val="10"/>
            <color rgb="FF000000"/>
            <rFont val="Arial"/>
            <family val="2"/>
          </rPr>
          <t xml:space="preserve"> pressure activated fan to bring in air as pressure drops in room when dryer is activated.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9"/>
            <color rgb="FF000000"/>
            <rFont val="Tahoma"/>
            <family val="2"/>
          </rPr>
          <t xml:space="preserve">
</t>
        </r>
      </text>
    </comment>
    <comment ref="D53" authorId="0" shapeId="0" xr:uid="{00000000-0006-0000-0C00-000020000000}">
      <text>
        <r>
          <rPr>
            <sz val="10"/>
            <color rgb="FF000000"/>
            <rFont val="Arial"/>
            <family val="2"/>
          </rPr>
          <t xml:space="preserve">Requirement:  
</t>
        </r>
        <r>
          <rPr>
            <sz val="10"/>
            <color rgb="FF000000"/>
            <rFont val="Calibri"/>
            <family val="2"/>
            <scheme val="minor"/>
          </rPr>
          <t xml:space="preserve">Install high efficiency whole house filtration system with a minimum efficiency of 95% at removing pm 0.025 (particulate matter greater than 0.025 microns in diameter).  The system must have at least one dedicated intake from the interior of the home and can supply filtered air through a dedicated supply vent or utilize the HVAC supply system.  The system should have its </t>
        </r>
        <r>
          <rPr>
            <sz val="10"/>
            <color rgb="FF000000"/>
            <rFont val="Arial"/>
            <family val="34"/>
          </rPr>
          <t xml:space="preserve">own fan, and not rely on the fan in the home’s HVAC system.  Additional points are available if the filtration system is equipped with UV lighting that provides a minimum UV dose of 1,500 </t>
        </r>
        <r>
          <rPr>
            <sz val="10"/>
            <color rgb="FF000000"/>
            <rFont val="Cambria Math"/>
            <family val="34"/>
          </rPr>
          <t>𝜇</t>
        </r>
        <r>
          <rPr>
            <sz val="10"/>
            <color rgb="FF000000"/>
            <rFont val="Cambria Math"/>
            <family val="34"/>
          </rPr>
          <t>𝑊</t>
        </r>
        <r>
          <rPr>
            <sz val="10"/>
            <color rgb="FF000000"/>
            <rFont val="Cambria Math"/>
            <family val="34"/>
          </rPr>
          <t>𝑠</t>
        </r>
        <r>
          <rPr>
            <sz val="10"/>
            <color rgb="FF000000"/>
            <rFont val="Arial"/>
            <family val="34"/>
          </rPr>
          <t>/</t>
        </r>
        <r>
          <rPr>
            <sz val="10"/>
            <color rgb="FF000000"/>
            <rFont val="Arial"/>
            <family val="34"/>
          </rPr>
          <t>〖</t>
        </r>
        <r>
          <rPr>
            <sz val="10"/>
            <color rgb="FF000000"/>
            <rFont val="Cambria Math"/>
            <family val="34"/>
          </rPr>
          <t>𝑐</t>
        </r>
        <r>
          <rPr>
            <sz val="10"/>
            <color rgb="FF000000"/>
            <rFont val="Cambria Math"/>
            <family val="34"/>
          </rPr>
          <t>𝑚</t>
        </r>
        <r>
          <rPr>
            <sz val="10"/>
            <color rgb="FF000000"/>
            <rFont val="Arial"/>
            <family val="34"/>
          </rPr>
          <t>〗</t>
        </r>
        <r>
          <rPr>
            <sz val="10"/>
            <color rgb="FF000000"/>
            <rFont val="Arial"/>
            <family val="34"/>
          </rPr>
          <t>^2</t>
        </r>
        <r>
          <rPr>
            <sz val="10"/>
            <color rgb="FF000000"/>
            <rFont val="Arial"/>
            <family val="34"/>
          </rPr>
          <t xml:space="preserve">, designed for 500fpm moving airstream, irradiance zone of two (2) feet and a UV exposure time of 0.25 seconds.  
</t>
        </r>
        <r>
          <rPr>
            <sz val="10"/>
            <color rgb="FF000000"/>
            <rFont val="Arial"/>
            <family val="34"/>
          </rPr>
          <t xml:space="preserve">
</t>
        </r>
        <r>
          <rPr>
            <sz val="10"/>
            <color rgb="FF000000"/>
            <rFont val="Arial"/>
            <family val="34"/>
          </rPr>
          <t xml:space="preserve">3 Points Whole House Filtration
</t>
        </r>
        <r>
          <rPr>
            <sz val="10"/>
            <color rgb="FF000000"/>
            <rFont val="Arial"/>
            <family val="34"/>
          </rPr>
          <t xml:space="preserve">5 Points Whole House Filtration with UV
</t>
        </r>
      </text>
    </comment>
    <comment ref="D54" authorId="0" shapeId="0" xr:uid="{00000000-0006-0000-0C00-000021000000}">
      <text>
        <r>
          <rPr>
            <sz val="10"/>
            <color rgb="FF000000"/>
            <rFont val="Arial"/>
            <family val="2"/>
          </rPr>
          <t xml:space="preserve">Requirement: 
</t>
        </r>
        <r>
          <rPr>
            <sz val="10"/>
            <color rgb="FF000000"/>
            <rFont val="Arial"/>
            <family val="2"/>
          </rPr>
          <t xml:space="preserve">Home has installed filters with at least a minimum efficiency reporting value (MERV) of 8, and 2 points for a filter with at least a MERV 10.  If the home contains more than 1 HVAC system, a qualifying filter must be installed on each unit. Filters must be maintained as per manufacturer’s specifications.  Passive electrostatic filters may not be used. 
</t>
        </r>
        <r>
          <rPr>
            <sz val="10"/>
            <color rgb="FF000000"/>
            <rFont val="Arial"/>
            <family val="2"/>
          </rPr>
          <t xml:space="preserve">
</t>
        </r>
        <r>
          <rPr>
            <sz val="10"/>
            <color rgb="FF000000"/>
            <rFont val="Arial"/>
            <family val="2"/>
          </rPr>
          <t xml:space="preserve">Points: 
</t>
        </r>
        <r>
          <rPr>
            <sz val="10"/>
            <color rgb="FF000000"/>
            <rFont val="Arial"/>
            <family val="2"/>
          </rPr>
          <t xml:space="preserve">1 point MERV 8 Minimum
</t>
        </r>
        <r>
          <rPr>
            <sz val="10"/>
            <color rgb="FF000000"/>
            <rFont val="Arial"/>
            <family val="2"/>
          </rPr>
          <t xml:space="preserve">2 points MERV ≥ 10 </t>
        </r>
        <r>
          <rPr>
            <sz val="11"/>
            <color rgb="FF000000"/>
            <rFont val="Arial"/>
            <family val="2"/>
          </rPr>
          <t xml:space="preserve">
</t>
        </r>
      </text>
    </comment>
    <comment ref="D55" authorId="0" shapeId="0" xr:uid="{00000000-0006-0000-0C00-000022000000}">
      <text>
        <r>
          <rPr>
            <sz val="10"/>
            <color rgb="FF000000"/>
            <rFont val="Arial"/>
            <family val="2"/>
          </rPr>
          <t xml:space="preserve">Requirement: 
</t>
        </r>
        <r>
          <rPr>
            <sz val="10"/>
            <color rgb="FF000000"/>
            <rFont val="Arial"/>
            <family val="2"/>
          </rPr>
          <t xml:space="preserve">HVAC filter is installed in a location easily accessible by the homeowner.  The homeowner must be able to change the HVAC filter without the use of any tools or ladders.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56" authorId="0" shapeId="0" xr:uid="{00000000-0006-0000-0C00-000023000000}">
      <text>
        <r>
          <rPr>
            <sz val="10"/>
            <color rgb="FF000000"/>
            <rFont val="Arial"/>
            <family val="2"/>
          </rPr>
          <t xml:space="preserve">Requirement:  
</t>
        </r>
        <r>
          <rPr>
            <sz val="10"/>
            <color rgb="FF000000"/>
            <rFont val="Arial"/>
            <family val="2"/>
          </rPr>
          <t xml:space="preserve">Home must have installed screens for all windows and doors, excluding the front door, to allow for adequate passive ventilation as needed.  A screen enclosure surrounding a pool will suffice for windows and doors contained in this space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57" authorId="0" shapeId="0" xr:uid="{00000000-0006-0000-0C00-000024000000}">
      <text>
        <r>
          <rPr>
            <sz val="10"/>
            <color rgb="FF000000"/>
            <rFont val="Arial"/>
            <family val="2"/>
          </rPr>
          <t xml:space="preserve">Requirement: 
</t>
        </r>
        <r>
          <rPr>
            <sz val="10"/>
            <color rgb="FF000000"/>
            <rFont val="Arial"/>
            <family val="2"/>
          </rPr>
          <t xml:space="preserve">Correctly sizing and laying out the duct system using ACCA Manual D to deliver the proper room by room cubic feet per minute (cfm) as calculated by ACCA Manual J.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OToledo</author>
    <author>Jennifer Languell</author>
  </authors>
  <commentList>
    <comment ref="D5" authorId="0" shapeId="0" xr:uid="{00000000-0006-0000-0D00-000001000000}">
      <text>
        <r>
          <rPr>
            <sz val="11"/>
            <color rgb="FF000000"/>
            <rFont val="Arial"/>
            <family val="2"/>
          </rPr>
          <t xml:space="preserve">Requirement:  Roofing must be made of 100% recycled rubber and plastic or 100% recycled polymer and rubber or 100% recycled wood and plastic.  Roofing may also be metal with 70% recycled content or fiber cement with recycled content. 
</t>
        </r>
        <r>
          <rPr>
            <sz val="11"/>
            <color rgb="FF000000"/>
            <rFont val="Arial"/>
            <family val="2"/>
          </rPr>
          <t xml:space="preserve">Points: 1
</t>
        </r>
      </text>
    </comment>
    <comment ref="D6" authorId="0" shapeId="0" xr:uid="{00000000-0006-0000-0D00-000002000000}">
      <text>
        <r>
          <rPr>
            <sz val="11"/>
            <color rgb="FF000000"/>
            <rFont val="Arial"/>
            <family val="2"/>
          </rPr>
          <t xml:space="preserve">Requirement:  80% of all lumber used in the home is certified by a sustainable forestry certification agency such as the Forest Stewardship Council and Sustainable Forestry Initiative.  Home must have at least 1 story with wood frame exterior walls.  If exterior walls are not wood frame 80% of all lumber used in the home must be certified.
</t>
        </r>
        <r>
          <rPr>
            <sz val="11"/>
            <color rgb="FF000000"/>
            <rFont val="Arial"/>
            <family val="2"/>
          </rPr>
          <t xml:space="preserve">.  
</t>
        </r>
        <r>
          <rPr>
            <sz val="11"/>
            <color rgb="FF000000"/>
            <rFont val="Arial"/>
            <family val="2"/>
          </rPr>
          <t xml:space="preserve">Points: 2 if home is NOT wood framed and 80% of all lumber is certified sustainable
</t>
        </r>
        <r>
          <rPr>
            <sz val="11"/>
            <color rgb="FF000000"/>
            <rFont val="Arial"/>
            <family val="2"/>
          </rPr>
          <t xml:space="preserve">3 points if 80% of lumber is certified sustainable for wood frame homes 
</t>
        </r>
        <r>
          <rPr>
            <sz val="11"/>
            <color rgb="FF000000"/>
            <rFont val="Arial"/>
            <family val="2"/>
          </rPr>
          <t xml:space="preserve">  </t>
        </r>
        <r>
          <rPr>
            <sz val="9"/>
            <color rgb="FF000000"/>
            <rFont val="Tahoma"/>
            <family val="2"/>
          </rPr>
          <t xml:space="preserve">
</t>
        </r>
      </text>
    </comment>
    <comment ref="D9" authorId="0" shapeId="0" xr:uid="{00000000-0006-0000-0D00-000003000000}">
      <text>
        <r>
          <rPr>
            <sz val="11"/>
            <color rgb="FF000000"/>
            <rFont val="Arial"/>
            <family val="2"/>
          </rPr>
          <t xml:space="preserve">Requirement:  Use minimum of 100 sf or 50% of all outdoor structures, whichever is greater, shall be of a product using 50% or more recycled content material 
</t>
        </r>
        <r>
          <rPr>
            <sz val="11"/>
            <color rgb="FF000000"/>
            <rFont val="Arial"/>
            <family val="2"/>
          </rPr>
          <t xml:space="preserve">Points: 1 
</t>
        </r>
      </text>
    </comment>
    <comment ref="D10" authorId="0" shapeId="0" xr:uid="{00000000-0006-0000-0D00-000004000000}">
      <text>
        <r>
          <rPr>
            <sz val="11"/>
            <color rgb="FF000000"/>
            <rFont val="Arial"/>
            <family val="2"/>
          </rPr>
          <t xml:space="preserve">Requirement:  All concrete poured on site must have a minimum of 18% fly ash or blast furnace slag in lieu of the cement in the concrete mix design.  
</t>
        </r>
        <r>
          <rPr>
            <sz val="11"/>
            <color rgb="FF000000"/>
            <rFont val="Arial"/>
            <family val="2"/>
          </rPr>
          <t xml:space="preserve">Points: 1 
</t>
        </r>
      </text>
    </comment>
    <comment ref="D11" authorId="0" shapeId="0" xr:uid="{00000000-0006-0000-0D00-000005000000}">
      <text>
        <r>
          <rPr>
            <sz val="11"/>
            <color rgb="FF000000"/>
            <rFont val="Arial"/>
            <family val="2"/>
          </rPr>
          <t xml:space="preserve">Requirement:  Use siding or soffit material with a minimum of 20% recycled content.
</t>
        </r>
        <r>
          <rPr>
            <sz val="11"/>
            <color rgb="FF000000"/>
            <rFont val="Arial"/>
            <family val="2"/>
          </rPr>
          <t xml:space="preserve">Points: 1 
</t>
        </r>
      </text>
    </comment>
    <comment ref="D12" authorId="0" shapeId="0" xr:uid="{00000000-0006-0000-0D00-000006000000}">
      <text>
        <r>
          <rPr>
            <sz val="11"/>
            <color indexed="81"/>
            <rFont val="Arial"/>
            <family val="2"/>
          </rPr>
          <t xml:space="preserve">Requirement:  Use 100% eco friendly insulation product as listed below or provide cut sheet verifying insulation environmental benefits.
• Recycled cellulose insulation
• Recycled cotton denim insulation
• Recycled mineral wool insulation
• Recycled perlite composite board
Points:  1
</t>
        </r>
      </text>
    </comment>
    <comment ref="D13" authorId="0" shapeId="0" xr:uid="{00000000-0006-0000-0D00-000007000000}">
      <text>
        <r>
          <rPr>
            <sz val="11"/>
            <color rgb="FF000000"/>
            <rFont val="Arial"/>
            <family val="2"/>
          </rPr>
          <t xml:space="preserve">Requirement:  All drywall to contain at least 90% combined pre- and post-consumer recycled content.
</t>
        </r>
        <r>
          <rPr>
            <sz val="11"/>
            <color rgb="FF000000"/>
            <rFont val="Arial"/>
            <family val="2"/>
          </rPr>
          <t xml:space="preserve">Points:  1 
</t>
        </r>
      </text>
    </comment>
    <comment ref="D14" authorId="0" shapeId="0" xr:uid="{00000000-0006-0000-0D00-000008000000}">
      <text>
        <r>
          <rPr>
            <sz val="11"/>
            <color rgb="FF000000"/>
            <rFont val="Arial"/>
            <family val="2"/>
          </rPr>
          <t xml:space="preserve">Requirement:  100% of all paint used (interior and exterior) must have 75% post consumer recycled content and be reformulated with mildewcides, surfactants, etc. as specified for original manufacturing.  
</t>
        </r>
        <r>
          <rPr>
            <sz val="11"/>
            <color rgb="FF000000"/>
            <rFont val="Arial"/>
            <family val="2"/>
          </rPr>
          <t xml:space="preserve">Points:  1 
</t>
        </r>
      </text>
    </comment>
    <comment ref="D15" authorId="0" shapeId="0" xr:uid="{00000000-0006-0000-0D00-000009000000}">
      <text>
        <r>
          <rPr>
            <sz val="11"/>
            <color rgb="FF000000"/>
            <rFont val="Arial"/>
            <family val="2"/>
          </rPr>
          <t xml:space="preserve">Requirement:  80% of all interior studs are made from recycled steel
</t>
        </r>
        <r>
          <rPr>
            <sz val="11"/>
            <color rgb="FF000000"/>
            <rFont val="Arial"/>
            <family val="2"/>
          </rPr>
          <t xml:space="preserve">Points:  1 
</t>
        </r>
      </text>
    </comment>
    <comment ref="D16" authorId="0" shapeId="0" xr:uid="{00000000-0006-0000-0D00-00000A000000}">
      <text>
        <r>
          <rPr>
            <sz val="11"/>
            <color indexed="81"/>
            <rFont val="Arial"/>
            <family val="2"/>
          </rPr>
          <t xml:space="preserve">Requirement:  100% of all finished flooring used meets any of the following criteria:
• Domestically produced hardwood materials from sustainably managed forests.
• Bamboo flooring.
• Reuse of salvaged wood.
• Floor tiles made from recycled glass or other 100% recycled content material
• Cork flooring.
• Natural linoleum.
• Concrete (stamped, stained, etc.) 
• Recycled content carpet/carpet pad and rugs: Carpets/rugs must have a minimum recycled content of 80% with 60% post consumer recycled content or be 100% PET plastic.  Carpet pads must have 80% total recycled content.  Examples include 80% post consumer tires, 80% nylon, 100% recycled newsprint and 80% textile waste.
• Natural content carpet/carpet pad and rugs: Carpets/rugs must be composed of 100% natural materials such as wool, sisal, jute, and hemp.  Carpet pad must also be of a natural material such as 85% recycled burlap bags made from fibrous jute plants.  
Points:  1 
</t>
        </r>
      </text>
    </comment>
    <comment ref="D17" authorId="0" shapeId="0" xr:uid="{00000000-0006-0000-0D00-00000B000000}">
      <text>
        <r>
          <rPr>
            <sz val="11"/>
            <color rgb="FF000000"/>
            <rFont val="Arial"/>
            <family val="2"/>
          </rPr>
          <t xml:space="preserve">Requirement:  80% of the ceiling material meets any of the following criteria:
</t>
        </r>
        <r>
          <rPr>
            <sz val="11"/>
            <color rgb="FF000000"/>
            <rFont val="Arial"/>
            <family val="2"/>
          </rPr>
          <t xml:space="preserve">• Domestically produced hardwood materials from sustainably managed forests
</t>
        </r>
        <r>
          <rPr>
            <sz val="11"/>
            <color rgb="FF000000"/>
            <rFont val="Arial"/>
            <family val="2"/>
          </rPr>
          <t xml:space="preserve">• Material consisting of 60% recycled content of mineral wool and cellulose fiber 
</t>
        </r>
        <r>
          <rPr>
            <sz val="11"/>
            <color rgb="FF000000"/>
            <rFont val="Arial"/>
            <family val="2"/>
          </rPr>
          <t xml:space="preserve">• Material consisting of 25% recycled content glass 
</t>
        </r>
        <r>
          <rPr>
            <sz val="11"/>
            <color rgb="FF000000"/>
            <rFont val="Arial"/>
            <family val="2"/>
          </rPr>
          <t xml:space="preserve">• Salvaged wood.
</t>
        </r>
        <r>
          <rPr>
            <sz val="11"/>
            <color rgb="FF000000"/>
            <rFont val="Arial"/>
            <family val="2"/>
          </rPr>
          <t xml:space="preserve">Points:  1 
</t>
        </r>
        <r>
          <rPr>
            <sz val="11"/>
            <color rgb="FF000000"/>
            <rFont val="Arial"/>
            <family val="2"/>
          </rPr>
          <t xml:space="preserve">
</t>
        </r>
      </text>
    </comment>
    <comment ref="D18" authorId="0" shapeId="0" xr:uid="{00000000-0006-0000-0D00-00000C000000}">
      <text>
        <r>
          <rPr>
            <sz val="11"/>
            <color rgb="FF000000"/>
            <rFont val="Arial"/>
            <family val="2"/>
          </rPr>
          <t xml:space="preserve">Requirement:  80% of all new windows are from ithin a 700 mile radious of the project site and are operable and/or one point is available if 80% of the structural materials used to build the house, on a cost basis, such as concrete, concrete block, trusses, drywall, ICFs, panelized walls, modular systems, etc., are from a Florida manufacturer.
</t>
        </r>
        <r>
          <rPr>
            <sz val="11"/>
            <color rgb="FF000000"/>
            <rFont val="Arial"/>
            <family val="2"/>
          </rPr>
          <t xml:space="preserve">
</t>
        </r>
        <r>
          <rPr>
            <sz val="11"/>
            <color rgb="FF000000"/>
            <rFont val="Arial"/>
            <family val="2"/>
          </rPr>
          <t xml:space="preserve">Points:  1 point for windows OR structural materials
</t>
        </r>
        <r>
          <rPr>
            <sz val="11"/>
            <color rgb="FF000000"/>
            <rFont val="Arial"/>
            <family val="2"/>
          </rPr>
          <t xml:space="preserve">2 points for windows AND structural materials  
</t>
        </r>
      </text>
    </comment>
    <comment ref="D22" authorId="0" shapeId="0" xr:uid="{B4DB0097-0D72-5C41-BC68-0A81BDF5C132}">
      <text>
        <r>
          <rPr>
            <sz val="11"/>
            <color rgb="FF000000"/>
            <rFont val="Arial"/>
            <family val="2"/>
          </rPr>
          <t xml:space="preserve">Requirement:  
</t>
        </r>
        <r>
          <rPr>
            <sz val="10"/>
            <color rgb="FF000000"/>
            <rFont val="Arial"/>
            <family val="34"/>
          </rPr>
          <t xml:space="preserve">A minimum of 80% of the roof area must be Energy Star, cool roof compliant, has an LRV&gt;50 or a SRI &gt; 78 roofing.  Note this point is not available when using the E1.01b Prescriptive Energy Path as the point may be claimed in E1.01b.
</t>
        </r>
        <r>
          <rPr>
            <sz val="10"/>
            <color rgb="FF000000"/>
            <rFont val="Arial"/>
            <family val="34"/>
          </rPr>
          <t xml:space="preserve">Points:  2 
</t>
        </r>
      </text>
    </comment>
    <comment ref="D25" authorId="0" shapeId="0" xr:uid="{00000000-0006-0000-0D00-00000D000000}">
      <text>
        <r>
          <rPr>
            <sz val="11"/>
            <color indexed="81"/>
            <rFont val="Arial"/>
            <family val="2"/>
          </rPr>
          <t xml:space="preserve">Requirement: Install a minimum of 80% of the first floor living area exterior walls must be Autoclaved aerated concrete (AAC), Insulated concrete forms (ICF), or Structural Insulated Panels (SIP) or a combination thereof
Points:  3 
</t>
        </r>
      </text>
    </comment>
    <comment ref="D26" authorId="0" shapeId="0" xr:uid="{00000000-0006-0000-0D00-00000E000000}">
      <text>
        <r>
          <rPr>
            <sz val="11"/>
            <color rgb="FF000000"/>
            <rFont val="Arial"/>
            <family val="2"/>
          </rPr>
          <t xml:space="preserve">Requirement: Contractor must submit a written plan that consists of the following items:
</t>
        </r>
        <r>
          <rPr>
            <sz val="11"/>
            <color rgb="FF000000"/>
            <rFont val="Arial"/>
            <family val="2"/>
          </rPr>
          <t xml:space="preserve">• Estimated amount of waste and types of materials from project.
</t>
        </r>
        <r>
          <rPr>
            <sz val="11"/>
            <color rgb="FF000000"/>
            <rFont val="Arial"/>
            <family val="2"/>
          </rPr>
          <t xml:space="preserve">• Names/locations of waste disposal companies, recyclers, reuse centers for waste materials from project located within the project’s county or neighboring county.
</t>
        </r>
        <r>
          <rPr>
            <sz val="11"/>
            <color rgb="FF000000"/>
            <rFont val="Arial"/>
            <family val="2"/>
          </rPr>
          <t xml:space="preserve">• Estimated costs of hauling and disposal, recycling, and revenues from reuse and recycling for major waste materials from project.
</t>
        </r>
        <r>
          <rPr>
            <sz val="11"/>
            <color rgb="FF000000"/>
            <rFont val="Arial"/>
            <family val="2"/>
          </rPr>
          <t xml:space="preserve">• Goals for waste diversion by amount (weight or volume) and types of materials.
</t>
        </r>
        <r>
          <rPr>
            <sz val="11"/>
            <color rgb="FF000000"/>
            <rFont val="Arial"/>
            <family val="2"/>
          </rPr>
          <t xml:space="preserve">Points:  2 
</t>
        </r>
        <r>
          <rPr>
            <b/>
            <sz val="9"/>
            <color rgb="FF000000"/>
            <rFont val="Tahoma"/>
            <family val="2"/>
          </rPr>
          <t xml:space="preserve">
</t>
        </r>
        <r>
          <rPr>
            <sz val="9"/>
            <color rgb="FF000000"/>
            <rFont val="Tahoma"/>
            <family val="2"/>
          </rPr>
          <t xml:space="preserve">
</t>
        </r>
      </text>
    </comment>
    <comment ref="D27" authorId="0" shapeId="0" xr:uid="{00000000-0006-0000-0D00-00000F000000}">
      <text>
        <r>
          <rPr>
            <sz val="9"/>
            <color rgb="FF000000"/>
            <rFont val="Arial"/>
            <family val="2"/>
          </rPr>
          <t xml:space="preserve">You may also refer to reference guide for requirements
</t>
        </r>
        <r>
          <rPr>
            <sz val="9"/>
            <color rgb="FF000000"/>
            <rFont val="Arial"/>
            <family val="2"/>
          </rPr>
          <t xml:space="preserve">
</t>
        </r>
        <r>
          <rPr>
            <sz val="9"/>
            <color rgb="FF000000"/>
            <rFont val="Arial"/>
            <family val="2"/>
          </rPr>
          <t xml:space="preserve">Requirements: Implement at least two of the following job site waste management techniques and one individual must be designated as job-site “environmental manager” to inspect job-site roll-offs and other materials handling strategies to prevent commingling, damage, other waste creation activities.
</t>
        </r>
        <r>
          <rPr>
            <sz val="9"/>
            <color rgb="FF000000"/>
            <rFont val="Arial"/>
            <family val="2"/>
          </rPr>
          <t xml:space="preserve">a) Contractor writes into specifications/contracts with sub-contractors and vendors to be responsible for and remove materials and systems packaging upon either delivery or installation of products.
</t>
        </r>
        <r>
          <rPr>
            <sz val="9"/>
            <color rgb="FF000000"/>
            <rFont val="Arial"/>
            <family val="2"/>
          </rPr>
          <t xml:space="preserve">b) Contractor writes into specifications/contract with drywall sub-contractor a price by the square foot of finished drywall wall/ceiling area.
</t>
        </r>
        <r>
          <rPr>
            <sz val="9"/>
            <color rgb="FF000000"/>
            <rFont val="Arial"/>
            <family val="2"/>
          </rPr>
          <t xml:space="preserve">c) Clean drywall waste is used as soil amendment on-site where allowable and in proper quantities as approved by county extension service and/or landscape architect.
</t>
        </r>
        <r>
          <rPr>
            <sz val="9"/>
            <color rgb="FF000000"/>
            <rFont val="Arial"/>
            <family val="2"/>
          </rPr>
          <t xml:space="preserve">d) Clean and dry drywall scraps are securely placed in interior wall cavities where additional sound-proofing may be desirable.
</t>
        </r>
        <r>
          <rPr>
            <sz val="9"/>
            <color rgb="FF000000"/>
            <rFont val="Arial"/>
            <family val="2"/>
          </rPr>
          <t xml:space="preserve">e) A covered area or container is provided, with adequate separation from the ground, labeled as wood off-cuts for reuse in project.
</t>
        </r>
        <r>
          <rPr>
            <sz val="9"/>
            <color rgb="FF000000"/>
            <rFont val="Arial"/>
            <family val="2"/>
          </rPr>
          <t xml:space="preserve">f) Individually labeled roll-offs are placed on site for separation of C&amp;D waste materials, for at least 2 different materials, for example, metals, cardboard, concrete, brick, wood, and solid waste recyclables such as cans, plastic bottles.
</t>
        </r>
        <r>
          <rPr>
            <sz val="9"/>
            <color rgb="FF000000"/>
            <rFont val="Arial"/>
            <family val="2"/>
          </rPr>
          <t xml:space="preserve">g) Job-site trailer or office implements paper, plastic bottle, and can recycling bins.
</t>
        </r>
        <r>
          <rPr>
            <sz val="9"/>
            <color rgb="FF000000"/>
            <rFont val="Arial"/>
            <family val="2"/>
          </rPr>
          <t xml:space="preserve">h) Materials to be stored on site are kept off the ground and protected from weather, machinery, dust, and vehicle routes.
</t>
        </r>
        <r>
          <rPr>
            <sz val="9"/>
            <color rgb="FF000000"/>
            <rFont val="Arial"/>
            <family val="2"/>
          </rPr>
          <t xml:space="preserve">i) Job-site fabrication stations or areas implement ground covering, magnets, bins or other means to collect nails, screws, plates, clips, off-cut rebar, electrical wiring, sheet metal off-cuts for metals recycling.  
</t>
        </r>
        <r>
          <rPr>
            <sz val="9"/>
            <color rgb="FF000000"/>
            <rFont val="Arial"/>
            <family val="2"/>
          </rPr>
          <t xml:space="preserve">j) Use of job site framing plan and cut list.
</t>
        </r>
        <r>
          <rPr>
            <sz val="9"/>
            <color rgb="FF000000"/>
            <rFont val="Arial"/>
            <family val="2"/>
          </rPr>
          <t xml:space="preserve">k) Use of concrete formwork that has been used at least once before or is reused / reusable by contractor.
</t>
        </r>
        <r>
          <rPr>
            <sz val="9"/>
            <color rgb="FF000000"/>
            <rFont val="Arial"/>
            <family val="2"/>
          </rPr>
          <t xml:space="preserve">l) Separation and removal of leftover paint to local paint recycling facility.
</t>
        </r>
        <r>
          <rPr>
            <sz val="9"/>
            <color rgb="FF000000"/>
            <rFont val="Arial"/>
            <family val="2"/>
          </rPr>
          <t xml:space="preserve">m) Use of concrete washout system
</t>
        </r>
        <r>
          <rPr>
            <sz val="9"/>
            <color rgb="FF000000"/>
            <rFont val="Arial"/>
            <family val="2"/>
          </rPr>
          <t xml:space="preserve">n) Use of dumpster content recycling service
</t>
        </r>
        <r>
          <rPr>
            <sz val="9"/>
            <color rgb="FF000000"/>
            <rFont val="Arial"/>
            <family val="2"/>
          </rPr>
          <t xml:space="preserve">o) Use of panelized wall systems
</t>
        </r>
        <r>
          <rPr>
            <sz val="9"/>
            <color rgb="FF000000"/>
            <rFont val="Arial"/>
            <family val="2"/>
          </rPr>
          <t xml:space="preserve">Points:  2 points for 2 of the above items
</t>
        </r>
        <r>
          <rPr>
            <sz val="9"/>
            <color rgb="FF000000"/>
            <rFont val="Arial"/>
            <family val="2"/>
          </rPr>
          <t xml:space="preserve"> 3 points for 3 – 5 of the above items
</t>
        </r>
        <r>
          <rPr>
            <sz val="9"/>
            <color rgb="FF000000"/>
            <rFont val="Arial"/>
            <family val="2"/>
          </rPr>
          <t xml:space="preserve"> 4 points for greater than 6 of the above items
</t>
        </r>
        <r>
          <rPr>
            <sz val="10"/>
            <color rgb="FF000000"/>
            <rFont val="Arial"/>
            <family val="2"/>
          </rPr>
          <t xml:space="preserve">
</t>
        </r>
        <r>
          <rPr>
            <sz val="11"/>
            <color rgb="FF000000"/>
            <rFont val="Arial"/>
            <family val="2"/>
          </rPr>
          <t xml:space="preserve">
</t>
        </r>
        <r>
          <rPr>
            <sz val="10"/>
            <color rgb="FF0000FF"/>
            <rFont val="Arial"/>
            <family val="2"/>
          </rPr>
          <t xml:space="preserve">
</t>
        </r>
      </text>
    </comment>
    <comment ref="D30" authorId="0" shapeId="0" xr:uid="{00000000-0006-0000-0D00-000010000000}">
      <text>
        <r>
          <rPr>
            <sz val="11"/>
            <color rgb="FF000000"/>
            <rFont val="Arial"/>
            <family val="2"/>
          </rPr>
          <t xml:space="preserve">Requirement:  Home must provided the homeowner with a pre-fabricated compost bin (includes wire mesh type) or if the home has built in (i.e. permanent) recycle bins. Points for built in recycle bins are only awarded if the home is served by a municipal curbside recycling program.
</t>
        </r>
        <r>
          <rPr>
            <sz val="11"/>
            <color rgb="FF000000"/>
            <rFont val="Arial"/>
            <family val="2"/>
          </rPr>
          <t xml:space="preserve">Points:  1 
</t>
        </r>
      </text>
    </comment>
    <comment ref="D31" authorId="0" shapeId="0" xr:uid="{00000000-0006-0000-0D00-000011000000}">
      <text>
        <r>
          <rPr>
            <sz val="11"/>
            <color rgb="FF000000"/>
            <rFont val="Arial"/>
            <family val="2"/>
          </rPr>
          <t xml:space="preserve">Requirement:  Install pre-engineered roof and floor components
</t>
        </r>
        <r>
          <rPr>
            <sz val="11"/>
            <color rgb="FF000000"/>
            <rFont val="Arial"/>
            <family val="2"/>
          </rPr>
          <t xml:space="preserve">Points:  1 point for roof OR floor
</t>
        </r>
        <r>
          <rPr>
            <sz val="11"/>
            <color rgb="FF000000"/>
            <rFont val="Arial"/>
            <family val="2"/>
          </rPr>
          <t xml:space="preserve">2 points for roof AND floor 
</t>
        </r>
      </text>
    </comment>
    <comment ref="D33" authorId="0" shapeId="0" xr:uid="{00000000-0006-0000-0D00-000012000000}">
      <text>
        <r>
          <rPr>
            <sz val="11"/>
            <color rgb="FF000000"/>
            <rFont val="Arial"/>
            <family val="2"/>
          </rPr>
          <t xml:space="preserve">Requirement:  A minimum 80% of the following building components are finger-jointed or laminated materials, or a combination thereof: studs, top plate, headers, rim joists, beams, and columns.  
</t>
        </r>
        <r>
          <rPr>
            <sz val="11"/>
            <color rgb="FF000000"/>
            <rFont val="Arial"/>
            <family val="2"/>
          </rPr>
          <t xml:space="preserve">Points:  1 
</t>
        </r>
      </text>
    </comment>
    <comment ref="D34" authorId="0" shapeId="0" xr:uid="{00000000-0006-0000-0D00-000013000000}">
      <text>
        <r>
          <rPr>
            <sz val="11"/>
            <color rgb="FF000000"/>
            <rFont val="Arial"/>
            <family val="2"/>
          </rPr>
          <t xml:space="preserve">Requirement:  A minimum of 80% of the interior trim is finger jointed (finger jointed trim is generally paint grade only) or recycled plastic material.  
</t>
        </r>
        <r>
          <rPr>
            <sz val="11"/>
            <color rgb="FF000000"/>
            <rFont val="Arial"/>
            <family val="2"/>
          </rPr>
          <t xml:space="preserve">Points:  1 
</t>
        </r>
      </text>
    </comment>
    <comment ref="D35" authorId="0" shapeId="0" xr:uid="{00000000-0006-0000-0D00-000014000000}">
      <text>
        <r>
          <rPr>
            <sz val="11"/>
            <color rgb="FF000000"/>
            <rFont val="Arial"/>
            <family val="2"/>
          </rPr>
          <t xml:space="preserve">Requirement:  The exterior layout of the home adheres to 2 ft. dimensions for a minimum of 80% of exterior walls.
</t>
        </r>
        <r>
          <rPr>
            <sz val="11"/>
            <color rgb="FF000000"/>
            <rFont val="Arial"/>
            <family val="2"/>
          </rPr>
          <t xml:space="preserve"> 
</t>
        </r>
        <r>
          <rPr>
            <sz val="11"/>
            <color rgb="FF000000"/>
            <rFont val="Arial"/>
            <family val="2"/>
          </rPr>
          <t xml:space="preserve">Points:  1 
</t>
        </r>
      </text>
    </comment>
    <comment ref="D36" authorId="0" shapeId="0" xr:uid="{00000000-0006-0000-0D00-000015000000}">
      <text>
        <r>
          <rPr>
            <sz val="11"/>
            <color rgb="FF000000"/>
            <rFont val="Arial"/>
            <family val="2"/>
          </rPr>
          <t xml:space="preserve">Requirement: Each interior wall adheres to 2-foot dimensions for minimum of 50% of the interior walls
</t>
        </r>
        <r>
          <rPr>
            <sz val="11"/>
            <color rgb="FF000000"/>
            <rFont val="Arial"/>
            <family val="2"/>
          </rPr>
          <t xml:space="preserve">Points:  1 
</t>
        </r>
      </text>
    </comment>
    <comment ref="D37" authorId="0" shapeId="0" xr:uid="{00000000-0006-0000-0D00-000016000000}">
      <text>
        <r>
          <rPr>
            <sz val="11"/>
            <color rgb="FF000000"/>
            <rFont val="Arial"/>
            <family val="2"/>
          </rPr>
          <t xml:space="preserve">Requirement:  uses a stacked framing scheme
</t>
        </r>
        <r>
          <rPr>
            <sz val="11"/>
            <color rgb="FF000000"/>
            <rFont val="Arial"/>
            <family val="2"/>
          </rPr>
          <t xml:space="preserve">Points:  1
</t>
        </r>
      </text>
    </comment>
    <comment ref="D38" authorId="0" shapeId="0" xr:uid="{00000000-0006-0000-0D00-000017000000}">
      <text>
        <r>
          <rPr>
            <sz val="11"/>
            <color rgb="FF000000"/>
            <rFont val="Arial"/>
            <family val="2"/>
          </rPr>
          <t xml:space="preserve">Requirement:  Uses two stud corners in all possible locations.
</t>
        </r>
        <r>
          <rPr>
            <sz val="11"/>
            <color rgb="FF000000"/>
            <rFont val="Arial"/>
            <family val="2"/>
          </rPr>
          <t xml:space="preserve">Points:  1 
</t>
        </r>
      </text>
    </comment>
    <comment ref="D39" authorId="0" shapeId="0" xr:uid="{00000000-0006-0000-0D00-000018000000}">
      <text>
        <r>
          <rPr>
            <sz val="11"/>
            <color rgb="FF000000"/>
            <rFont val="Arial"/>
            <family val="2"/>
          </rPr>
          <t xml:space="preserve">Requirement:  Use advanced ladder T-wall and/or ladder type exterior tee framing in all possible locations.
</t>
        </r>
        <r>
          <rPr>
            <sz val="11"/>
            <color rgb="FF000000"/>
            <rFont val="Arial"/>
            <family val="2"/>
          </rPr>
          <t xml:space="preserve">Points:  1 
</t>
        </r>
      </text>
    </comment>
    <comment ref="D42" authorId="0" shapeId="0" xr:uid="{00000000-0006-0000-0D00-000019000000}">
      <text>
        <r>
          <rPr>
            <sz val="11"/>
            <color rgb="FF000000"/>
            <rFont val="Arial"/>
            <family val="2"/>
          </rPr>
          <t xml:space="preserve">Requirement: 
</t>
        </r>
        <r>
          <rPr>
            <sz val="11"/>
            <color rgb="FF000000"/>
            <rFont val="Arial"/>
            <family val="2"/>
          </rPr>
          <t xml:space="preserve">Roof slope shall be greater than or equal to 3 in 12 but less than or equal to 6 in 12.
</t>
        </r>
        <r>
          <rPr>
            <sz val="11"/>
            <color rgb="FF000000"/>
            <rFont val="Arial"/>
            <family val="2"/>
          </rPr>
          <t xml:space="preserve">
</t>
        </r>
        <r>
          <rPr>
            <sz val="11"/>
            <color rgb="FF000000"/>
            <rFont val="Arial"/>
            <family val="2"/>
          </rPr>
          <t xml:space="preserve">Points:  1 
</t>
        </r>
      </text>
    </comment>
    <comment ref="D43" authorId="0" shapeId="0" xr:uid="{00000000-0006-0000-0D00-00001A000000}">
      <text>
        <r>
          <rPr>
            <sz val="11"/>
            <color rgb="FF000000"/>
            <rFont val="Arial"/>
            <family val="2"/>
          </rPr>
          <t xml:space="preserve">Requirement:   Overhangs are 1 ft on gable ends and at least 2 ft everywhere else.
</t>
        </r>
        <r>
          <rPr>
            <sz val="11"/>
            <color rgb="FF000000"/>
            <rFont val="Arial"/>
            <family val="2"/>
          </rPr>
          <t xml:space="preserve">Points:  1 
</t>
        </r>
      </text>
    </comment>
    <comment ref="D44" authorId="0" shapeId="0" xr:uid="{00000000-0006-0000-0D00-00001B000000}">
      <text>
        <r>
          <rPr>
            <sz val="11"/>
            <color indexed="81"/>
            <rFont val="Arial"/>
            <family val="2"/>
          </rPr>
          <t xml:space="preserve">Requirement:  All plumbing penetrations through the roof are replaced with the use of air admittance vents.
Points:  1
</t>
        </r>
      </text>
    </comment>
    <comment ref="D45" authorId="0" shapeId="0" xr:uid="{00000000-0006-0000-0D00-00001C000000}">
      <text>
        <r>
          <rPr>
            <sz val="11"/>
            <color rgb="FF000000"/>
            <rFont val="Arial"/>
            <family val="2"/>
          </rPr>
          <t xml:space="preserve">Requirement:  All exterior wood walls use rain screen techniques.  Drainage plane must be 2 layers of 15lb felt or housewrap installed shingle style.  Top and bottom of air cavity (3/8” minimum) not sealed – general furring strips or other spacers are installed over drainage plane to  accommodate moisture drainage (or weeping) and air flow before the installation of siding cladding.
</t>
        </r>
        <r>
          <rPr>
            <sz val="11"/>
            <color rgb="FF000000"/>
            <rFont val="Arial"/>
            <family val="2"/>
          </rPr>
          <t xml:space="preserve">Points: 1 
</t>
        </r>
        <r>
          <rPr>
            <sz val="11"/>
            <color rgb="FF000000"/>
            <rFont val="Arial"/>
            <family val="2"/>
          </rPr>
          <t xml:space="preserve"> </t>
        </r>
      </text>
    </comment>
    <comment ref="D46" authorId="0" shapeId="0" xr:uid="{00000000-0006-0000-0D00-00001D000000}">
      <text>
        <r>
          <rPr>
            <sz val="11"/>
            <color rgb="FF000000"/>
            <rFont val="Arial"/>
            <family val="2"/>
          </rPr>
          <t xml:space="preserve">Requirement:  All siding material and exterior trim is pre-primed before installation on all sides, including cut edges.     
</t>
        </r>
        <r>
          <rPr>
            <sz val="11"/>
            <color rgb="FF000000"/>
            <rFont val="Arial"/>
            <family val="2"/>
          </rPr>
          <t xml:space="preserve">Points:  1 
</t>
        </r>
      </text>
    </comment>
    <comment ref="D47" authorId="0" shapeId="0" xr:uid="{00000000-0006-0000-0D00-00001E000000}">
      <text>
        <r>
          <rPr>
            <sz val="11"/>
            <color rgb="FF000000"/>
            <rFont val="Arial"/>
            <family val="2"/>
          </rPr>
          <t xml:space="preserve">Requirement:  </t>
        </r>
        <r>
          <rPr>
            <sz val="10"/>
            <color rgb="FF000000"/>
            <rFont val="Calibri"/>
            <family val="2"/>
            <scheme val="minor"/>
          </rPr>
          <t>All plants (root ball), trees and sod are kept at least 2 ft away from the foundation</t>
        </r>
        <r>
          <rPr>
            <sz val="11"/>
            <color rgb="FF000000"/>
            <rFont val="Calibri"/>
            <family val="2"/>
            <scheme val="minor"/>
          </rPr>
          <t xml:space="preserve"> </t>
        </r>
        <r>
          <rPr>
            <sz val="11"/>
            <color rgb="FF000000"/>
            <rFont val="Arial"/>
            <family val="2"/>
          </rPr>
          <t xml:space="preserve">Points:  1 
</t>
        </r>
      </text>
    </comment>
    <comment ref="D48" authorId="1" shapeId="0" xr:uid="{00000000-0006-0000-0D00-00001F000000}">
      <text>
        <r>
          <rPr>
            <sz val="10"/>
            <color rgb="FF000000"/>
            <rFont val="Arial"/>
            <family val="2"/>
          </rPr>
          <t xml:space="preserve">Requirement:  
</t>
        </r>
        <r>
          <rPr>
            <sz val="10"/>
            <color rgb="FF000000"/>
            <rFont val="Arial"/>
            <family val="2"/>
          </rPr>
          <t xml:space="preserve">All sprinklers and emitters are installed at least 2 ft away from the foundation.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49" authorId="0" shapeId="0" xr:uid="{00000000-0006-0000-0D00-000020000000}">
      <text>
        <r>
          <rPr>
            <sz val="11"/>
            <color rgb="FF000000"/>
            <rFont val="Arial"/>
            <family val="2"/>
          </rPr>
          <t xml:space="preserve">Requirement:  All water using appliances (clothes washer, refrigerator, faucets, toilets, etc.) use pex, armored, or metal hoses (except copper).  
</t>
        </r>
        <r>
          <rPr>
            <sz val="11"/>
            <color rgb="FF000000"/>
            <rFont val="Arial"/>
            <family val="2"/>
          </rPr>
          <t xml:space="preserve">Points:  1 
</t>
        </r>
      </text>
    </comment>
    <comment ref="D51" authorId="0" shapeId="0" xr:uid="{00000000-0006-0000-0D00-000022000000}">
      <text>
        <r>
          <rPr>
            <sz val="11"/>
            <color rgb="FF000000"/>
            <rFont val="Arial"/>
            <family val="2"/>
          </rPr>
          <t xml:space="preserve">Requirement:  Provide access to all plumbing by providing a plumbing access panels installed for each shower and tub.  
</t>
        </r>
        <r>
          <rPr>
            <sz val="11"/>
            <color rgb="FF000000"/>
            <rFont val="Arial"/>
            <family val="2"/>
          </rPr>
          <t xml:space="preserve">Points:  1 
</t>
        </r>
        <r>
          <rPr>
            <b/>
            <sz val="9"/>
            <color rgb="FF000000"/>
            <rFont val="Tahoma"/>
            <family val="2"/>
          </rPr>
          <t xml:space="preserve"> </t>
        </r>
      </text>
    </comment>
    <comment ref="D52" authorId="0" shapeId="0" xr:uid="{00000000-0006-0000-0D00-000023000000}">
      <text>
        <r>
          <rPr>
            <sz val="11"/>
            <color rgb="FF000000"/>
            <rFont val="Arial"/>
            <family val="2"/>
          </rPr>
          <t xml:space="preserve">Requirement:  A floor drain in all laundry rooms located above the ground floor and if all laundry rooms located on the ground floor contain a drain or the level of the laundry room floor is below the level of the living space floor.
</t>
        </r>
        <r>
          <rPr>
            <sz val="11"/>
            <color rgb="FF000000"/>
            <rFont val="Arial"/>
            <family val="2"/>
          </rPr>
          <t xml:space="preserve">Points:  1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OToledo</author>
    <author>Danny</author>
    <author>jlanguell</author>
    <author>Jennifer Languell</author>
  </authors>
  <commentList>
    <comment ref="D5" authorId="0" shapeId="0" xr:uid="{00000000-0006-0000-0E00-000001000000}">
      <text>
        <r>
          <rPr>
            <sz val="10"/>
            <color indexed="81"/>
            <rFont val="Arial"/>
            <family val="2"/>
          </rPr>
          <t xml:space="preserve">Requirement:  Install a safe room constructed in accordance with the guidelines set forth in the NSSA publication: “Building Codes and Storm Shelter Safety.”  
Points:  2 </t>
        </r>
        <r>
          <rPr>
            <sz val="11"/>
            <color indexed="81"/>
            <rFont val="Arial"/>
            <family val="2"/>
          </rPr>
          <t xml:space="preserve">
</t>
        </r>
      </text>
    </comment>
    <comment ref="D6" authorId="0" shapeId="0" xr:uid="{00000000-0006-0000-0E00-000002000000}">
      <text>
        <r>
          <rPr>
            <sz val="10"/>
            <color indexed="81"/>
            <rFont val="Arial"/>
            <family val="2"/>
          </rPr>
          <t xml:space="preserve">Requirement:  Home is built with an unvented attic or no attic at all.
Points:  2 </t>
        </r>
        <r>
          <rPr>
            <sz val="11"/>
            <color indexed="81"/>
            <rFont val="Arial"/>
            <family val="2"/>
          </rPr>
          <t xml:space="preserve">
 </t>
        </r>
      </text>
    </comment>
    <comment ref="D7" authorId="0" shapeId="0" xr:uid="{00000000-0006-0000-0E00-000003000000}">
      <text>
        <r>
          <rPr>
            <sz val="10"/>
            <color rgb="FF000000"/>
            <rFont val="Arial"/>
            <family val="2"/>
          </rPr>
          <t xml:space="preserve">Requirement:  All windows, skylights, sliding glass doors, and other doors used in the home, which are comprised of at least 60% glass, are protected with shutter or screen product as impact resistant.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8" authorId="0" shapeId="0" xr:uid="{00000000-0006-0000-0E00-000004000000}">
      <text>
        <r>
          <rPr>
            <sz val="10"/>
            <color indexed="81"/>
            <rFont val="Arial"/>
            <family val="2"/>
          </rPr>
          <t xml:space="preserve">Requirement:  All exterior doors of the home are protected with a Dade County approved shutter or screen product or are classified by Dade County as impact resistant.  At least one door must be impact resistant, and not have a shutter or screen, to provide a means of egress from the house.
Points:  1 </t>
        </r>
        <r>
          <rPr>
            <sz val="11"/>
            <color indexed="81"/>
            <rFont val="Arial"/>
            <family val="2"/>
          </rPr>
          <t xml:space="preserve">
</t>
        </r>
      </text>
    </comment>
    <comment ref="D9" authorId="0" shapeId="0" xr:uid="{00000000-0006-0000-0E00-000005000000}">
      <text>
        <r>
          <rPr>
            <sz val="10"/>
            <color indexed="81"/>
            <rFont val="Arial"/>
            <family val="2"/>
          </rPr>
          <t xml:space="preserve">Requirement:  Exterior structures, such as pool equipment and other pumps, generators, sheds, etc. are properly anchored to a foundation or the building itself.  The anchoring must be specified or certified by an engineer (i.e. during wind load calculations).
Points:  1 </t>
        </r>
        <r>
          <rPr>
            <sz val="11"/>
            <color indexed="81"/>
            <rFont val="Arial"/>
            <family val="2"/>
          </rPr>
          <t xml:space="preserve">
</t>
        </r>
      </text>
    </comment>
    <comment ref="D10" authorId="0" shapeId="0" xr:uid="{00000000-0006-0000-0E00-000006000000}">
      <text>
        <r>
          <rPr>
            <sz val="10"/>
            <color indexed="81"/>
            <rFont val="Arial"/>
            <family val="2"/>
          </rPr>
          <t xml:space="preserve">Requirement:  Install secondary water protection on the roof.  
Secondary water protection can be achieved if the entire roof has self-adhering polymer bitumen roofing underlayment (thin rubber or asphalt sheets with peel and stick underside installed beneath the roof covering and on top of the sheathing). 
Alternately, joints may be sealed with a self-adhering polyethylene or rubberized asphalt tape that has a minimum width of 6 inches prior to installation of felt or other type of roof underlayment.  
Roofing felt or similar paper based products alone are not eligible for secondary water resistance points.
Points:  2 </t>
        </r>
        <r>
          <rPr>
            <sz val="11"/>
            <color indexed="81"/>
            <rFont val="Arial"/>
            <family val="2"/>
          </rPr>
          <t xml:space="preserve">
</t>
        </r>
      </text>
    </comment>
    <comment ref="D11" authorId="0" shapeId="0" xr:uid="{00000000-0006-0000-0E00-000007000000}">
      <text>
        <r>
          <rPr>
            <sz val="10"/>
            <color indexed="81"/>
            <rFont val="Arial"/>
            <family val="2"/>
          </rPr>
          <t xml:space="preserve">Requirement:  Spray-on adhesive with a minimum uplift capacity of 260 psf for a 4x8 ft panel is applied continuously to the underside of the roof sheathing to within at least one foot of the eaves.  
Points:  2 </t>
        </r>
        <r>
          <rPr>
            <sz val="11"/>
            <color indexed="81"/>
            <rFont val="Arial"/>
            <family val="2"/>
          </rPr>
          <t xml:space="preserve">
 </t>
        </r>
      </text>
    </comment>
    <comment ref="D12" authorId="1" shapeId="0" xr:uid="{00000000-0006-0000-0E00-000008000000}">
      <text>
        <r>
          <rPr>
            <b/>
            <sz val="9"/>
            <color rgb="FF000000"/>
            <rFont val="Tahoma"/>
            <family val="2"/>
          </rPr>
          <t xml:space="preserve">Requirement:  Select and install roof shingles that are rated a minimum of 20 mph greater than the wind zone.  For example if you are in a 100 mph wind zone the home must have a Class G (120 mph) shingle installed.  
</t>
        </r>
        <r>
          <rPr>
            <b/>
            <sz val="9"/>
            <color rgb="FF000000"/>
            <rFont val="Tahoma"/>
            <family val="2"/>
          </rPr>
          <t xml:space="preserve">Points:  2 
</t>
        </r>
        <r>
          <rPr>
            <b/>
            <sz val="9"/>
            <color rgb="FF000000"/>
            <rFont val="Tahoma"/>
            <family val="2"/>
          </rPr>
          <t xml:space="preserve">Intent: Provide severe weather resistance
</t>
        </r>
        <r>
          <rPr>
            <b/>
            <sz val="9"/>
            <color rgb="FF000000"/>
            <rFont val="Tahoma"/>
            <family val="2"/>
          </rPr>
          <t xml:space="preserve">Submittal:  Photos or elevations
</t>
        </r>
      </text>
    </comment>
    <comment ref="D13" authorId="1" shapeId="0" xr:uid="{00000000-0006-0000-0E00-000009000000}">
      <text>
        <r>
          <rPr>
            <b/>
            <sz val="9"/>
            <color rgb="FF000000"/>
            <rFont val="Tahoma"/>
            <family val="2"/>
          </rPr>
          <t xml:space="preserve">Requirement:  Homes constructed with a raised foundation, on piers or pilings.  The Finished Floor Elevation and all mechanical equipment must be a minimum of 24” above the 100 year flood plain.  
</t>
        </r>
        <r>
          <rPr>
            <b/>
            <sz val="9"/>
            <color rgb="FF000000"/>
            <rFont val="Tahoma"/>
            <family val="2"/>
          </rPr>
          <t xml:space="preserve">Points:  2 
</t>
        </r>
        <r>
          <rPr>
            <b/>
            <sz val="9"/>
            <color rgb="FF000000"/>
            <rFont val="Tahoma"/>
            <family val="2"/>
          </rPr>
          <t xml:space="preserve">Intent: Provide severe weather resistance
</t>
        </r>
        <r>
          <rPr>
            <b/>
            <sz val="9"/>
            <color rgb="FF000000"/>
            <rFont val="Tahoma"/>
            <family val="2"/>
          </rPr>
          <t xml:space="preserve">Submittal:  Photos or elevations
</t>
        </r>
      </text>
    </comment>
    <comment ref="D14" authorId="0" shapeId="0" xr:uid="{00000000-0006-0000-0E00-00000A000000}">
      <text>
        <r>
          <rPr>
            <sz val="10"/>
            <color indexed="81"/>
            <rFont val="Arial"/>
            <family val="2"/>
          </rPr>
          <t xml:space="preserve">Requirement:  Home earns a certification under the Fortified for Safer Living Standard, a program of the Institute for Home and Business Safety.
Points:  5 </t>
        </r>
        <r>
          <rPr>
            <sz val="11"/>
            <color indexed="81"/>
            <rFont val="Arial"/>
            <family val="2"/>
          </rPr>
          <t xml:space="preserve">
</t>
        </r>
      </text>
    </comment>
    <comment ref="A16" authorId="0" shapeId="0" xr:uid="{00000000-0006-0000-0E00-00000B000000}">
      <text>
        <r>
          <rPr>
            <sz val="10"/>
            <color indexed="81"/>
            <rFont val="Arial"/>
            <family val="2"/>
          </rPr>
          <t xml:space="preserve">Requirement:  Incorporate all of the following criteria
1. Finished floor level at least 12” above 100 yr. flood plain: The finished floor level must be at least 12” above the 100-year flood plain as determined by the water management district or the local building department.  
2. The Finished Floor Elevtaion must be 12 inches abovethe finished graded lot.  Lot must be graded for proper drainage and visibly slope away from the building: The top of the slab must be at least 12” above the highest point of the graded lot. This strategy may help with flooding and termite inspections. Please check with appropriate civil engineer to verify if this strategy is appropriate for the given foundation and home.  
3. Garage floor and driveway properly sloped to drain out.  Garage floor at least 4” lower than living floor: The garage and driveway must have a slope of 1” per twenty feet minimum, and the average height in the garage must be 4” lower than the lowest location on the first floor.  
Points:  3
</t>
        </r>
      </text>
    </comment>
    <comment ref="A21" authorId="0" shapeId="0" xr:uid="{00000000-0006-0000-0E00-00000C000000}">
      <text>
        <r>
          <rPr>
            <sz val="10"/>
            <color rgb="FF000000"/>
            <rFont val="Arial"/>
            <family val="2"/>
          </rPr>
          <t xml:space="preserve">Requirement:  Incorporate all of the following criteria
</t>
        </r>
        <r>
          <rPr>
            <sz val="10"/>
            <color rgb="FF000000"/>
            <rFont val="Arial"/>
            <family val="2"/>
          </rPr>
          <t xml:space="preserve">
</t>
        </r>
        <r>
          <rPr>
            <sz val="10"/>
            <color rgb="FF000000"/>
            <rFont val="Arial"/>
            <family val="2"/>
          </rPr>
          <t xml:space="preserve">1. Fire resistant exterior wall cladding: An exterior cladding other than wood or vinyl must be used on all exterior walls.  Examples include stucco, unfinished CBS, brick, aluminum, stone and fiber-cement. 
</t>
        </r>
        <r>
          <rPr>
            <sz val="10"/>
            <color rgb="FF000000"/>
            <rFont val="Arial"/>
            <family val="2"/>
          </rPr>
          <t xml:space="preserve">
</t>
        </r>
        <r>
          <rPr>
            <sz val="10"/>
            <color rgb="FF000000"/>
            <rFont val="Arial"/>
            <family val="2"/>
          </rPr>
          <t xml:space="preserve">2. Fire resistant roof covering or sub-roof: A roof covering other than asphalt shingles or wood shakes must be used on the entire roof.  Examples include metal, concrete, fiber-cement, and tile.  Credit is also available if the sub-roof (roof deck) is of a fire resistant material, instead of the covering.  
</t>
        </r>
        <r>
          <rPr>
            <sz val="10"/>
            <color rgb="FF000000"/>
            <rFont val="Arial"/>
            <family val="2"/>
          </rPr>
          <t xml:space="preserve">
</t>
        </r>
        <r>
          <rPr>
            <sz val="10"/>
            <color rgb="FF000000"/>
            <rFont val="Arial"/>
            <family val="2"/>
          </rPr>
          <t xml:space="preserve">3. Fire resistant soffit and vent material: A soffit and vent material other than wood or vinyl must be used.  When these parts of the home are compromised, embers from nearby fires can enter into the attic.  Examples include aluminum and fiber-cement.  
</t>
        </r>
        <r>
          <rPr>
            <sz val="10"/>
            <color rgb="FF000000"/>
            <rFont val="Arial"/>
            <family val="2"/>
          </rPr>
          <t xml:space="preserve">
</t>
        </r>
        <r>
          <rPr>
            <sz val="10"/>
            <color rgb="FF000000"/>
            <rFont val="Arial"/>
            <family val="2"/>
          </rPr>
          <t>Points:  3</t>
        </r>
        <r>
          <rPr>
            <sz val="11"/>
            <color rgb="FF000000"/>
            <rFont val="Arial"/>
            <family val="2"/>
          </rPr>
          <t xml:space="preserve">
</t>
        </r>
      </text>
    </comment>
    <comment ref="E25" authorId="2" shapeId="0" xr:uid="{00000000-0006-0000-0E00-00000D000000}">
      <text>
        <r>
          <rPr>
            <sz val="10"/>
            <color rgb="FF000000"/>
            <rFont val="Arial"/>
            <family val="2"/>
          </rPr>
          <t xml:space="preserve">Requirement:  Install a permitted fire sprinkler system in the home to cover 100% of the living area of the home.  
</t>
        </r>
        <r>
          <rPr>
            <sz val="10"/>
            <color rgb="FF000000"/>
            <rFont val="Arial"/>
            <family val="2"/>
          </rPr>
          <t xml:space="preserve">
</t>
        </r>
        <r>
          <rPr>
            <sz val="10"/>
            <color rgb="FF000000"/>
            <rFont val="Arial"/>
            <family val="2"/>
          </rPr>
          <t xml:space="preserve">Points:  3
</t>
        </r>
        <r>
          <rPr>
            <sz val="10"/>
            <color rgb="FF000000"/>
            <rFont val="Arial"/>
            <family val="2"/>
          </rPr>
          <t xml:space="preserve"> 
</t>
        </r>
        <r>
          <rPr>
            <sz val="10"/>
            <color rgb="FF000000"/>
            <rFont val="Arial"/>
            <family val="2"/>
          </rPr>
          <t xml:space="preserve">Submittal:  Required - Design plan and photos of installed system or copy of signed permit.
</t>
        </r>
      </text>
    </comment>
    <comment ref="A27" authorId="0" shapeId="0" xr:uid="{00000000-0006-0000-0E00-00000E000000}">
      <text>
        <r>
          <rPr>
            <sz val="10"/>
            <color rgb="FF000000"/>
            <rFont val="Arial"/>
            <family val="2"/>
          </rPr>
          <t xml:space="preserve">Requirement:  
</t>
        </r>
        <r>
          <rPr>
            <sz val="10"/>
            <color rgb="FF000000"/>
            <rFont val="Arial"/>
            <family val="2"/>
          </rPr>
          <t xml:space="preserve">Lightning Protection: A lightning protection system must be installed by a UL and LPI (Lighting protection Institute) certified company. The company needs to be listed on the LPI site as a dealer/contractor, not simply as a member.  
</t>
        </r>
        <r>
          <rPr>
            <sz val="10"/>
            <color rgb="FF000000"/>
            <rFont val="Arial"/>
            <family val="2"/>
          </rPr>
          <t xml:space="preserve">
</t>
        </r>
        <r>
          <rPr>
            <sz val="10"/>
            <color rgb="FF000000"/>
            <rFont val="Arial"/>
            <family val="2"/>
          </rPr>
          <t xml:space="preserve">Surge Protection System: The surge protection devices (SPD) that include phone, coax when appropriate, and a whole house protection device installed per manufacturer’s instructions either inside or outside where the electrical utility enters the home. The SPD should be stamped with a Universal laboratories (UL) label to verify the unit meets the latest safety standards. If installed outdoors the unit should be Type 1 listed by UL, and if installed indoors the unit should be listed either Type 1 or Type 2.
</t>
        </r>
        <r>
          <rPr>
            <sz val="10"/>
            <color rgb="FF000000"/>
            <rFont val="Arial"/>
            <family val="2"/>
          </rPr>
          <t xml:space="preserve">• Type 1- These are permanently connected SPDs intended for installation between the secondary of the service transformer and the line side of the service equipment overcurrent device as well as the load side (including watt-hour meter adapters). Previously known as surge arresters, these devices are intended to be installed without an external overcurrent protective device.
</t>
        </r>
        <r>
          <rPr>
            <sz val="10"/>
            <color rgb="FF000000"/>
            <rFont val="Arial"/>
            <family val="2"/>
          </rPr>
          <t xml:space="preserve">• Type 2-These are permanently connected SPDs intended for installation on the load side of the service equipment overcurrent device, including SPDs located at the branch panel.
</t>
        </r>
        <r>
          <rPr>
            <sz val="10"/>
            <color rgb="FF000000"/>
            <rFont val="Arial"/>
            <family val="2"/>
          </rPr>
          <t xml:space="preserve">
</t>
        </r>
        <r>
          <rPr>
            <sz val="10"/>
            <color rgb="FF000000"/>
            <rFont val="Arial"/>
            <family val="2"/>
          </rPr>
          <t xml:space="preserve">Points: 
</t>
        </r>
        <r>
          <rPr>
            <sz val="10"/>
            <color rgb="FF000000"/>
            <rFont val="Arial"/>
            <family val="2"/>
          </rPr>
          <t xml:space="preserve"> 1 point for Surge Protection
</t>
        </r>
        <r>
          <rPr>
            <sz val="10"/>
            <color rgb="FF000000"/>
            <rFont val="Arial"/>
            <family val="2"/>
          </rPr>
          <t xml:space="preserve"> 2 Points for Lightning Protection</t>
        </r>
        <r>
          <rPr>
            <sz val="11"/>
            <color rgb="FF000000"/>
            <rFont val="Arial"/>
            <family val="2"/>
          </rPr>
          <t xml:space="preserve">
</t>
        </r>
        <r>
          <rPr>
            <b/>
            <sz val="9"/>
            <color rgb="FF000000"/>
            <rFont val="Tahoma"/>
            <family val="2"/>
          </rPr>
          <t xml:space="preserve">
</t>
        </r>
      </text>
    </comment>
    <comment ref="D28" authorId="3" shapeId="0" xr:uid="{00000000-0006-0000-0E00-00000F000000}">
      <text>
        <r>
          <rPr>
            <sz val="10"/>
            <color indexed="81"/>
            <rFont val="Arial"/>
            <family val="2"/>
          </rPr>
          <t xml:space="preserve">(TYPE 1 and 2) DEFINITIONS IN REFERENCE GUIDE)
Points: 1 or 2
1 Point:
FGBC awards 1 point for surge protection devices (SPD) that include phone, coax when appropriate, and a whole house protection device installed per manufactures instructions either inside or outside where the electrical utility enters the home. The SPD should be stamped with a Universal laboratories (UL) label to verify the unit meets the latest safety standards. If installed outdoors the unit should be Type 1 listed by UL, and if installed indoors the unit should be listed either type 1 or type 2. 
2 Points
2 points are earned for a lighting protection system that is installed by a UL and LPI (Lighting protection Institute) certified company. The company needs to be listed on the LPI site as a dealer/contractor, not simply as a member.
</t>
        </r>
      </text>
    </comment>
    <comment ref="E31" authorId="1" shapeId="0" xr:uid="{00000000-0006-0000-0E00-000010000000}">
      <text>
        <r>
          <rPr>
            <sz val="9"/>
            <color rgb="FF000000"/>
            <rFont val="Tahoma"/>
            <family val="2"/>
          </rPr>
          <t xml:space="preserve">
</t>
        </r>
        <r>
          <rPr>
            <sz val="9"/>
            <color rgb="FF000000"/>
            <rFont val="Tahoma"/>
            <family val="2"/>
          </rPr>
          <t xml:space="preserve">Auto Populates 
</t>
        </r>
        <r>
          <rPr>
            <sz val="9"/>
            <color rgb="FF000000"/>
            <rFont val="Tahoma"/>
            <family val="2"/>
          </rPr>
          <t>Section H2.04</t>
        </r>
      </text>
    </comment>
    <comment ref="E32" authorId="1" shapeId="0" xr:uid="{00000000-0006-0000-0E00-000011000000}">
      <text>
        <r>
          <rPr>
            <sz val="9"/>
            <color rgb="FF000000"/>
            <rFont val="Tahoma"/>
            <family val="2"/>
          </rPr>
          <t xml:space="preserve">
</t>
        </r>
        <r>
          <rPr>
            <sz val="9"/>
            <color rgb="FF000000"/>
            <rFont val="Tahoma"/>
            <family val="2"/>
          </rPr>
          <t>Auto Populate from M3.6</t>
        </r>
      </text>
    </comment>
    <comment ref="E33" authorId="1" shapeId="0" xr:uid="{00000000-0006-0000-0E00-000012000000}">
      <text>
        <r>
          <rPr>
            <sz val="9"/>
            <color rgb="FF000000"/>
            <rFont val="Tahoma"/>
            <family val="2"/>
          </rPr>
          <t xml:space="preserve">
</t>
        </r>
        <r>
          <rPr>
            <sz val="9"/>
            <color rgb="FF000000"/>
            <rFont val="Tahoma"/>
            <family val="2"/>
          </rPr>
          <t>Auto Populates from M3.7 or W6.1</t>
        </r>
      </text>
    </comment>
    <comment ref="D34" authorId="0" shapeId="0" xr:uid="{00000000-0006-0000-0E00-000013000000}">
      <text>
        <r>
          <rPr>
            <sz val="10"/>
            <color rgb="FF000000"/>
            <rFont val="Arial"/>
            <family val="2"/>
          </rPr>
          <t>A</t>
        </r>
        <r>
          <rPr>
            <b/>
            <sz val="10"/>
            <color rgb="FF000000"/>
            <rFont val="Arial"/>
            <family val="2"/>
          </rPr>
          <t xml:space="preserve"> project may elect to take points for either DM5.1 or DM 5.2 or DM 5.3, but not all together.</t>
        </r>
        <r>
          <rPr>
            <sz val="10"/>
            <color rgb="FF000000"/>
            <rFont val="Arial"/>
            <family val="2"/>
          </rPr>
          <t xml:space="preserve"> 
</t>
        </r>
        <r>
          <rPr>
            <sz val="10"/>
            <color rgb="FF000000"/>
            <rFont val="Arial"/>
            <family val="2"/>
          </rPr>
          <t xml:space="preserve">
</t>
        </r>
        <r>
          <rPr>
            <sz val="10"/>
            <color rgb="FF000000"/>
            <rFont val="Arial"/>
            <family val="2"/>
          </rPr>
          <t xml:space="preserve">See Reference Guide for additional information 
</t>
        </r>
        <r>
          <rPr>
            <sz val="10"/>
            <color rgb="FF000000"/>
            <rFont val="Arial"/>
            <family val="2"/>
          </rPr>
          <t xml:space="preserve">
</t>
        </r>
        <r>
          <rPr>
            <sz val="10"/>
            <color rgb="FF000000"/>
            <rFont val="Arial"/>
            <family val="2"/>
          </rPr>
          <t xml:space="preserve">Requirement:  Implement one of the following :
</t>
        </r>
        <r>
          <rPr>
            <sz val="10"/>
            <color rgb="FF000000"/>
            <rFont val="Arial"/>
            <family val="2"/>
          </rPr>
          <t xml:space="preserve">(DM5.1, DM 5.2, or DM 5.3)  </t>
        </r>
        <r>
          <rPr>
            <b/>
            <u/>
            <sz val="10"/>
            <color rgb="FF000000"/>
            <rFont val="Arial"/>
            <family val="2"/>
          </rPr>
          <t>AND</t>
        </r>
        <r>
          <rPr>
            <sz val="10"/>
            <color rgb="FF000000"/>
            <rFont val="Arial"/>
            <family val="2"/>
          </rPr>
          <t xml:space="preserve">  Meet the following 3 requisites (from other areas of the checklist)
</t>
        </r>
        <r>
          <rPr>
            <sz val="10"/>
            <color rgb="FF000000"/>
            <rFont val="Arial"/>
            <family val="2"/>
          </rPr>
          <t xml:space="preserve">• Seal slab penetrations (Category 5: Health/Moisture Control)
</t>
        </r>
        <r>
          <rPr>
            <sz val="10"/>
            <color rgb="FF000000"/>
            <rFont val="Arial"/>
            <family val="2"/>
          </rPr>
          <t xml:space="preserve">• Plants/turf minimum of 2 ft. from foundation (Category 6: Materials/Durability)
</t>
        </r>
        <r>
          <rPr>
            <sz val="10"/>
            <color rgb="FF000000"/>
            <rFont val="Arial"/>
            <family val="2"/>
          </rPr>
          <t xml:space="preserve">• Sprinklers and emitters are 2 foot from the house (Category 6: Materials/Durability)
</t>
        </r>
        <r>
          <rPr>
            <sz val="10"/>
            <color rgb="FF000000"/>
            <rFont val="Arial"/>
            <family val="2"/>
          </rPr>
          <t xml:space="preserve">
</t>
        </r>
        <r>
          <rPr>
            <sz val="10"/>
            <color rgb="FF000000"/>
            <rFont val="Arial"/>
            <family val="2"/>
          </rPr>
          <t xml:space="preserve">Points: 
</t>
        </r>
        <r>
          <rPr>
            <sz val="10"/>
            <color rgb="FF000000"/>
            <rFont val="Arial"/>
            <family val="2"/>
          </rPr>
          <t xml:space="preserve">10 points for DM5.1 and requisites OR
</t>
        </r>
        <r>
          <rPr>
            <sz val="10"/>
            <color rgb="FF000000"/>
            <rFont val="Arial"/>
            <family val="2"/>
          </rPr>
          <t xml:space="preserve">10 points for DM5.2 and requisites OR 
</t>
        </r>
        <r>
          <rPr>
            <sz val="10"/>
            <color rgb="FF000000"/>
            <rFont val="Arial"/>
            <family val="2"/>
          </rPr>
          <t xml:space="preserve">12 points for DM5.3 and requisites </t>
        </r>
        <r>
          <rPr>
            <sz val="11"/>
            <color rgb="FF000000"/>
            <rFont val="Arial"/>
            <family val="2"/>
          </rPr>
          <t xml:space="preserve">
</t>
        </r>
        <r>
          <rPr>
            <sz val="11"/>
            <color rgb="FF000000"/>
            <rFont val="Arial"/>
            <family val="2"/>
          </rPr>
          <t xml:space="preserve">
</t>
        </r>
      </text>
    </comment>
    <comment ref="D41" authorId="0" shapeId="0" xr:uid="{00000000-0006-0000-0E00-000014000000}">
      <text>
        <r>
          <rPr>
            <b/>
            <sz val="10"/>
            <color rgb="FF000000"/>
            <rFont val="Arial"/>
            <family val="2"/>
          </rPr>
          <t xml:space="preserve">A project may elect to take points for either DM5.1 or DM 5.2 or DM 5.3, but not all together. 
</t>
        </r>
        <r>
          <rPr>
            <b/>
            <sz val="10"/>
            <color rgb="FF000000"/>
            <rFont val="Arial"/>
            <family val="2"/>
          </rPr>
          <t xml:space="preserve">
</t>
        </r>
        <r>
          <rPr>
            <b/>
            <sz val="10"/>
            <color rgb="FF000000"/>
            <rFont val="Arial"/>
            <family val="2"/>
          </rPr>
          <t>S</t>
        </r>
        <r>
          <rPr>
            <sz val="10"/>
            <color rgb="FF000000"/>
            <rFont val="Arial"/>
            <family val="2"/>
          </rPr>
          <t xml:space="preserve">ee Reference Guide for additional information 
</t>
        </r>
        <r>
          <rPr>
            <sz val="10"/>
            <color rgb="FF000000"/>
            <rFont val="Arial"/>
            <family val="2"/>
          </rPr>
          <t xml:space="preserve">
</t>
        </r>
        <r>
          <rPr>
            <sz val="10"/>
            <color rgb="FF000000"/>
            <rFont val="Arial"/>
            <family val="2"/>
          </rPr>
          <t xml:space="preserve">Requirement:  Implement one of the following (DM5.1, DM 5.2, or DM 5.3) </t>
        </r>
        <r>
          <rPr>
            <b/>
            <u/>
            <sz val="10"/>
            <color rgb="FF000000"/>
            <rFont val="Arial"/>
            <family val="2"/>
          </rPr>
          <t>AND</t>
        </r>
        <r>
          <rPr>
            <sz val="10"/>
            <color rgb="FF000000"/>
            <rFont val="Arial"/>
            <family val="2"/>
          </rPr>
          <t xml:space="preserve">
</t>
        </r>
        <r>
          <rPr>
            <sz val="10"/>
            <color rgb="FF000000"/>
            <rFont val="Arial"/>
            <family val="2"/>
          </rPr>
          <t xml:space="preserve"> Meet the following 3 requisites (from other areas of the checklist)
</t>
        </r>
        <r>
          <rPr>
            <sz val="10"/>
            <color rgb="FF000000"/>
            <rFont val="Arial"/>
            <family val="2"/>
          </rPr>
          <t xml:space="preserve">• Seal slab penetrations (Category 5: Health/Moisture Control)
</t>
        </r>
        <r>
          <rPr>
            <sz val="10"/>
            <color rgb="FF000000"/>
            <rFont val="Arial"/>
            <family val="2"/>
          </rPr>
          <t xml:space="preserve">• Plants/turf minimum of 2 ft. from foundation (Category 6: Materials/Durability)
</t>
        </r>
        <r>
          <rPr>
            <sz val="10"/>
            <color rgb="FF000000"/>
            <rFont val="Arial"/>
            <family val="2"/>
          </rPr>
          <t xml:space="preserve">• Sprinklers and emitters are 2 foot from the house (Category 6: Materials/Durability)
</t>
        </r>
        <r>
          <rPr>
            <sz val="10"/>
            <color rgb="FF000000"/>
            <rFont val="Arial"/>
            <family val="2"/>
          </rPr>
          <t xml:space="preserve">
</t>
        </r>
        <r>
          <rPr>
            <sz val="10"/>
            <color rgb="FF000000"/>
            <rFont val="Arial"/>
            <family val="2"/>
          </rPr>
          <t xml:space="preserve">Points:
</t>
        </r>
        <r>
          <rPr>
            <sz val="10"/>
            <color rgb="FF000000"/>
            <rFont val="Arial"/>
            <family val="2"/>
          </rPr>
          <t xml:space="preserve">10 points for DM5.1 and requisites OR
</t>
        </r>
        <r>
          <rPr>
            <sz val="10"/>
            <color rgb="FF000000"/>
            <rFont val="Arial"/>
            <family val="2"/>
          </rPr>
          <t xml:space="preserve">10 points for DM5.2 and requisites OR 
</t>
        </r>
        <r>
          <rPr>
            <sz val="10"/>
            <color rgb="FF000000"/>
            <rFont val="Arial"/>
            <family val="2"/>
          </rPr>
          <t xml:space="preserve">12 points for DM5.3 and requisites </t>
        </r>
      </text>
    </comment>
    <comment ref="D45" authorId="0" shapeId="0" xr:uid="{00000000-0006-0000-0E00-000015000000}">
      <text>
        <r>
          <rPr>
            <b/>
            <sz val="10"/>
            <color rgb="FF000000"/>
            <rFont val="Arial"/>
            <family val="2"/>
          </rPr>
          <t xml:space="preserve">A project may elect to take points for either DM4.1 or DM 4.2 or DM 4.3, but not all together.
</t>
        </r>
        <r>
          <rPr>
            <sz val="10"/>
            <color rgb="FF000000"/>
            <rFont val="Arial"/>
            <family val="2"/>
          </rPr>
          <t xml:space="preserve">
</t>
        </r>
        <r>
          <rPr>
            <sz val="10"/>
            <color rgb="FF000000"/>
            <rFont val="Arial"/>
            <family val="2"/>
          </rPr>
          <t xml:space="preserve">See Reference Guide for additional information 
</t>
        </r>
        <r>
          <rPr>
            <sz val="10"/>
            <color rgb="FF000000"/>
            <rFont val="Arial"/>
            <family val="2"/>
          </rPr>
          <t xml:space="preserve">
</t>
        </r>
        <r>
          <rPr>
            <sz val="10"/>
            <color rgb="FF000000"/>
            <rFont val="Arial"/>
            <family val="2"/>
          </rPr>
          <t xml:space="preserve">Requirement:  Implement one of the following (DM5.1, DM 5.2, or DM 5.3)  </t>
        </r>
        <r>
          <rPr>
            <b/>
            <u/>
            <sz val="10"/>
            <color rgb="FF000000"/>
            <rFont val="Arial"/>
            <family val="2"/>
          </rPr>
          <t>AND</t>
        </r>
        <r>
          <rPr>
            <sz val="10"/>
            <color rgb="FF000000"/>
            <rFont val="Arial"/>
            <family val="2"/>
          </rPr>
          <t xml:space="preserve">
</t>
        </r>
        <r>
          <rPr>
            <sz val="10"/>
            <color rgb="FF000000"/>
            <rFont val="Arial"/>
            <family val="2"/>
          </rPr>
          <t xml:space="preserve"> Meet the following 3 corequisites (from other areas of the checklist)
</t>
        </r>
        <r>
          <rPr>
            <sz val="10"/>
            <color rgb="FF000000"/>
            <rFont val="Arial"/>
            <family val="2"/>
          </rPr>
          <t xml:space="preserve">• Seal slab penetrations (Category 5: Health/Moisture Control)
</t>
        </r>
        <r>
          <rPr>
            <sz val="10"/>
            <color rgb="FF000000"/>
            <rFont val="Arial"/>
            <family val="2"/>
          </rPr>
          <t xml:space="preserve">• Plants/turf minimum of 2 ft. from foundation (Category 6: Materials/Durability)
</t>
        </r>
        <r>
          <rPr>
            <sz val="10"/>
            <color rgb="FF000000"/>
            <rFont val="Arial"/>
            <family val="2"/>
          </rPr>
          <t xml:space="preserve">• Sprinklers and emitters are 2 foot from the house (Category 6: Materials/Durability)
</t>
        </r>
        <r>
          <rPr>
            <sz val="10"/>
            <color rgb="FF000000"/>
            <rFont val="Arial"/>
            <family val="2"/>
          </rPr>
          <t xml:space="preserve">
</t>
        </r>
        <r>
          <rPr>
            <sz val="10"/>
            <color rgb="FF000000"/>
            <rFont val="Arial"/>
            <family val="2"/>
          </rPr>
          <t xml:space="preserve">Points
</t>
        </r>
        <r>
          <rPr>
            <sz val="10"/>
            <color rgb="FF000000"/>
            <rFont val="Arial"/>
            <family val="2"/>
          </rPr>
          <t xml:space="preserve">10 points for DM5.1 and requisites OR
</t>
        </r>
        <r>
          <rPr>
            <sz val="10"/>
            <color rgb="FF000000"/>
            <rFont val="Arial"/>
            <family val="2"/>
          </rPr>
          <t xml:space="preserve">10 points for DM5.2 and requisites OR 
</t>
        </r>
        <r>
          <rPr>
            <sz val="10"/>
            <color rgb="FF000000"/>
            <rFont val="Arial"/>
            <family val="2"/>
          </rPr>
          <t xml:space="preserve">12 points for DM5.3 and requisites </t>
        </r>
      </text>
    </comment>
    <comment ref="E46" authorId="3" shapeId="0" xr:uid="{00000000-0006-0000-0E00-000016000000}">
      <text>
        <r>
          <rPr>
            <b/>
            <sz val="10"/>
            <color rgb="FF000000"/>
            <rFont val="Arial"/>
            <family val="2"/>
          </rPr>
          <t>All wood products serving structural, framing, and exterior purposes are borate or ACQ treated.</t>
        </r>
        <r>
          <rPr>
            <sz val="10"/>
            <color rgb="FF000000"/>
            <rFont val="Arial"/>
            <family val="2"/>
          </rPr>
          <t xml:space="preserve">
</t>
        </r>
        <r>
          <rPr>
            <sz val="10"/>
            <color rgb="FF000000"/>
            <rFont val="Arial"/>
            <family val="2"/>
          </rPr>
          <t xml:space="preserve">
</t>
        </r>
        <r>
          <rPr>
            <sz val="10"/>
            <color rgb="FF000000"/>
            <rFont val="Arial"/>
            <family val="2"/>
          </rPr>
          <t xml:space="preserve">The three Termite requisites listed above must be met to earn these points.
</t>
        </r>
        <r>
          <rPr>
            <sz val="10"/>
            <color rgb="FF000000"/>
            <rFont val="Arial"/>
            <family val="2"/>
          </rPr>
          <t xml:space="preserve">
</t>
        </r>
        <r>
          <rPr>
            <sz val="10"/>
            <color rgb="FF000000"/>
            <rFont val="Arial"/>
            <family val="2"/>
          </rPr>
          <t xml:space="preserve">Points: 12
</t>
        </r>
        <r>
          <rPr>
            <sz val="10"/>
            <color rgb="FF000000"/>
            <rFont val="Arial"/>
            <family val="2"/>
          </rPr>
          <t xml:space="preserve">FGBC awards 12 points when the total surface area of all wood products in the home is protected from drywood as well as subterranean termites.  
</t>
        </r>
        <r>
          <rPr>
            <sz val="10"/>
            <color rgb="FF000000"/>
            <rFont val="Arial"/>
            <family val="2"/>
          </rPr>
          <t xml:space="preserve">
</t>
        </r>
        <r>
          <rPr>
            <sz val="10"/>
            <color rgb="FF000000"/>
            <rFont val="Arial"/>
            <family val="2"/>
          </rPr>
          <t xml:space="preserve">Note: 
</t>
        </r>
        <r>
          <rPr>
            <sz val="10"/>
            <color rgb="FF000000"/>
            <rFont val="Arial"/>
            <family val="2"/>
          </rPr>
          <t xml:space="preserve">A project may elect to take the points associated with ONLY one of the point options DM4.1, DM 4.2, or DM 4.3.  
</t>
        </r>
        <r>
          <rPr>
            <sz val="10"/>
            <color rgb="FF000000"/>
            <rFont val="Arial"/>
            <family val="2"/>
          </rPr>
          <t xml:space="preserve">
</t>
        </r>
        <r>
          <rPr>
            <sz val="10"/>
            <color rgb="FF000000"/>
            <rFont val="Arial"/>
            <family val="2"/>
          </rPr>
          <t xml:space="preserve">
</t>
        </r>
        <r>
          <rPr>
            <b/>
            <sz val="10"/>
            <color rgb="FF000000"/>
            <rFont val="Arial"/>
            <family val="2"/>
          </rPr>
          <t xml:space="preserve">
</t>
        </r>
      </text>
    </comment>
    <comment ref="D47" authorId="0" shapeId="0" xr:uid="{00000000-0006-0000-0E00-000017000000}">
      <text>
        <r>
          <rPr>
            <sz val="10"/>
            <color rgb="FF000000"/>
            <rFont val="Arial"/>
            <family val="2"/>
          </rPr>
          <t xml:space="preserve">Requirement:  80% of the cellulose insulation  in walls, ceilings, and floors to be borate-treated.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11"/>
            <color rgb="FF000000"/>
            <rFont val="Arial"/>
            <family val="2"/>
          </rPr>
          <t xml:space="preserve">
</t>
        </r>
        <r>
          <rPr>
            <sz val="11"/>
            <color rgb="FF000000"/>
            <rFont val="Arial"/>
            <family val="2"/>
          </rPr>
          <t xml:space="preserve">
</t>
        </r>
        <r>
          <rPr>
            <sz val="11"/>
            <color rgb="FF000000"/>
            <rFont val="Arial"/>
            <family val="2"/>
          </rPr>
          <t xml:space="preserve">
</t>
        </r>
      </text>
    </comment>
    <comment ref="D50" authorId="0" shapeId="0" xr:uid="{00000000-0006-0000-0E00-000018000000}">
      <text>
        <r>
          <rPr>
            <sz val="10"/>
            <color rgb="FF000000"/>
            <rFont val="Arial"/>
            <family val="2"/>
          </rPr>
          <t xml:space="preserve">Requirement:  All wood products including framing lumber, plywood, Oriented Strand board, Engineered wood products, Parallel strand lumber, Laminated veneer lumber, and wood I-beams, must have a factory or field applied antimicrobial treatment that complies with ASTM D3273.  All wood components must be treated.  Antimicrobial treatments may be used in combination with other treated wood such as borate treated and pressure treated lumbers.
</t>
        </r>
        <r>
          <rPr>
            <sz val="10"/>
            <color rgb="FF000000"/>
            <rFont val="Arial"/>
            <family val="2"/>
          </rPr>
          <t xml:space="preserve">Points:  2  
</t>
        </r>
        <r>
          <rPr>
            <sz val="10"/>
            <color rgb="FF000000"/>
            <rFont val="Arial"/>
            <family val="2"/>
          </rPr>
          <t xml:space="preserve">Intent: Reduce moisture impacts of wood in structure
</t>
        </r>
        <r>
          <rPr>
            <sz val="10"/>
            <color rgb="FF000000"/>
            <rFont val="Arial"/>
            <family val="2"/>
          </rPr>
          <t xml:space="preserve">Submittal:  Documentation indicating product purchase or contract for application, photos of applied product.   
</t>
        </r>
        <r>
          <rPr>
            <sz val="10"/>
            <color rgb="FF000000"/>
            <rFont val="Arial"/>
            <family val="2"/>
          </rPr>
          <t xml:space="preserve"> 
</t>
        </r>
      </text>
    </comment>
    <comment ref="D51" authorId="0" shapeId="0" xr:uid="{AABA5D92-E884-034C-B747-E8B7E491FD39}">
      <text>
        <r>
          <rPr>
            <sz val="10"/>
            <color rgb="FF000000"/>
            <rFont val="Arial"/>
            <family val="2"/>
          </rPr>
          <t xml:space="preserve">Requirement: 
</t>
        </r>
        <r>
          <rPr>
            <sz val="10"/>
            <color rgb="FF000000"/>
            <rFont val="Calibri"/>
            <family val="2"/>
          </rPr>
          <t xml:space="preserve">Install a whole house water sensor/shutoff system is installed that detects any sign of water leakage anywhere inside the conditioned space and cuts off the main water supply to the house.  At a minimum, sensors must be installed in the vicinity of a clothes washer and tank water heater.  Earn additional points if the leak detection system and/or shut off systems are tied to a mobile smart application. 
</t>
        </r>
        <r>
          <rPr>
            <sz val="10"/>
            <color rgb="FF000000"/>
            <rFont val="Calibri"/>
            <family val="2"/>
          </rPr>
          <t xml:space="preserve">
</t>
        </r>
        <r>
          <rPr>
            <sz val="10"/>
            <color rgb="FF000000"/>
            <rFont val="Calibri"/>
            <family val="2"/>
          </rPr>
          <t xml:space="preserve">1 Point Leak detection with Automatic Shut Off 
</t>
        </r>
        <r>
          <rPr>
            <sz val="10"/>
            <color rgb="FF000000"/>
            <rFont val="Calibri"/>
            <family val="2"/>
          </rPr>
          <t xml:space="preserve">2 Points Leak Detection System Installed tied to Smart Application
</t>
        </r>
        <r>
          <rPr>
            <sz val="10"/>
            <color rgb="FF000000"/>
            <rFont val="Calibri"/>
            <family val="2"/>
          </rPr>
          <t xml:space="preserve">3 Points Leak Detection AND Automatic Shut Off System Installed tied to Smart Application
</t>
        </r>
        <r>
          <rPr>
            <sz val="10"/>
            <color rgb="FF000000"/>
            <rFont val="Arial"/>
            <family val="2"/>
          </rPr>
          <t xml:space="preserve"> 
</t>
        </r>
      </text>
    </comment>
    <comment ref="D52" authorId="0" shapeId="0" xr:uid="{0D331184-B200-644D-9E8A-AC61F9684222}">
      <text>
        <r>
          <rPr>
            <sz val="10"/>
            <color rgb="FF000000"/>
            <rFont val="Arial"/>
            <family val="2"/>
          </rPr>
          <t xml:space="preserve">Requirement:  
</t>
        </r>
        <r>
          <rPr>
            <sz val="10"/>
            <color rgb="FF000000"/>
            <rFont val="Calibri"/>
            <family val="2"/>
            <scheme val="minor"/>
          </rPr>
          <t xml:space="preserve">Install a whole house gas leak detection and shut off </t>
        </r>
        <r>
          <rPr>
            <sz val="10"/>
            <color rgb="FF000000"/>
            <rFont val="Calibri"/>
            <family val="2"/>
            <scheme val="minor"/>
          </rPr>
          <t xml:space="preserve">systems are installed and tied to a mobile smart application.  
</t>
        </r>
        <r>
          <rPr>
            <sz val="10"/>
            <color rgb="FF000000"/>
            <rFont val="Arial"/>
            <family val="2"/>
          </rPr>
          <t xml:space="preserve">Points:  2  
</t>
        </r>
        <r>
          <rPr>
            <sz val="10"/>
            <color rgb="FF000000"/>
            <rFont val="Arial"/>
            <family val="2"/>
          </rPr>
          <t xml:space="preserve"> 
</t>
        </r>
      </text>
    </comment>
    <comment ref="D54" authorId="0" shapeId="0" xr:uid="{BC7DB328-E303-D447-8106-C64987001785}">
      <text>
        <r>
          <rPr>
            <sz val="10"/>
            <color rgb="FF000000"/>
            <rFont val="Arial"/>
            <family val="2"/>
          </rPr>
          <t xml:space="preserve">Requirement:  
</t>
        </r>
        <r>
          <rPr>
            <sz val="10"/>
            <color rgb="FF000000"/>
            <rFont val="Arial"/>
            <family val="2"/>
          </rPr>
          <t xml:space="preserve">
</t>
        </r>
        <r>
          <rPr>
            <sz val="10"/>
            <color rgb="FF000000"/>
            <rFont val="Calibri"/>
            <family val="2"/>
            <scheme val="minor"/>
          </rPr>
          <t xml:space="preserve">Install a radon/soil gas vent system in the home as appropriate for the homes construction type and location.
</t>
        </r>
        <r>
          <rPr>
            <sz val="10"/>
            <color rgb="FF000000"/>
            <rFont val="Calibri"/>
            <family val="2"/>
            <scheme val="minor"/>
          </rPr>
          <t xml:space="preserve">
</t>
        </r>
        <r>
          <rPr>
            <sz val="10"/>
            <color rgb="FF000000"/>
            <rFont val="Calibri"/>
            <family val="2"/>
            <scheme val="minor"/>
          </rPr>
          <t xml:space="preserve">Multi-Family:  	Install, at a minimum, a capped 4” PVC pipe that runs from the air handler closet to the exterior of the unit AND a junction box in the air handler closet that can accommodate a future fan to exhaust air from the home.  
</t>
        </r>
        <r>
          <rPr>
            <sz val="10"/>
            <color rgb="FF000000"/>
            <rFont val="Calibri"/>
            <family val="2"/>
            <scheme val="minor"/>
          </rPr>
          <t xml:space="preserve">
</t>
        </r>
        <r>
          <rPr>
            <sz val="10"/>
            <color rgb="FF000000"/>
            <rFont val="Arial"/>
            <family val="2"/>
          </rPr>
          <t xml:space="preserve">Points:  2  
</t>
        </r>
      </text>
    </comment>
  </commentList>
</comments>
</file>

<file path=xl/sharedStrings.xml><?xml version="1.0" encoding="utf-8"?>
<sst xmlns="http://schemas.openxmlformats.org/spreadsheetml/2006/main" count="4082" uniqueCount="1449">
  <si>
    <t>**This page shows the progress of your green home checklist **</t>
  </si>
  <si>
    <t>Minimum Points to Qualify</t>
  </si>
  <si>
    <t>Points Toward Qualification</t>
  </si>
  <si>
    <t>Total Points Earned</t>
  </si>
  <si>
    <t>Certification Level</t>
  </si>
  <si>
    <t>Prerequisite 1: Swimming Pool / Spa</t>
  </si>
  <si>
    <t xml:space="preserve">Prerequisite 2: Waterfront Considerations                    </t>
  </si>
  <si>
    <t>N/A</t>
  </si>
  <si>
    <t xml:space="preserve">Sanitation system that reduces chlorine use </t>
  </si>
  <si>
    <t>Use of native aquatic vegetation in shoreline area</t>
  </si>
  <si>
    <t>Pool Cover</t>
  </si>
  <si>
    <t>No turf adjacent to water (Low maintain plants instead)</t>
  </si>
  <si>
    <t>Solar pool heating system</t>
  </si>
  <si>
    <t xml:space="preserve">Use of terraces, swales, or berms to slow storm water  </t>
  </si>
  <si>
    <t>Efficient pool pumping</t>
  </si>
  <si>
    <t>Home site does not border natural water body</t>
  </si>
  <si>
    <t>No swimming pool/spa</t>
  </si>
  <si>
    <t>Prerequisite 3: Invasive Exotic Species</t>
  </si>
  <si>
    <t>Yes</t>
  </si>
  <si>
    <t>No</t>
  </si>
  <si>
    <t>Is the landscape existing or new</t>
  </si>
  <si>
    <t>Existing</t>
  </si>
  <si>
    <t>New</t>
  </si>
  <si>
    <t>Submit</t>
  </si>
  <si>
    <t>Prerequisite 2: Waterfront Consideration</t>
  </si>
  <si>
    <t>Submittal</t>
  </si>
  <si>
    <t>CATEGORY 1:   Energy</t>
  </si>
  <si>
    <t>HERS Index - Energy Rating</t>
  </si>
  <si>
    <t>Points</t>
  </si>
  <si>
    <t>Achieved</t>
  </si>
  <si>
    <t>Possible</t>
  </si>
  <si>
    <t>Criteria</t>
  </si>
  <si>
    <t>:Does the Home have a confirmed HERS Index</t>
  </si>
  <si>
    <t>:Confirmed HERS Index</t>
  </si>
  <si>
    <t>Design, finishes, amenities</t>
  </si>
  <si>
    <t>Document proper sizing of HVAC system</t>
  </si>
  <si>
    <t>Ductwork joints sealed with mastic</t>
  </si>
  <si>
    <t>Cross vent and ceiling fans code credit</t>
  </si>
  <si>
    <t>Passive solar space heating system</t>
  </si>
  <si>
    <t>Passive solar day-lighting</t>
  </si>
  <si>
    <t>Deciduous trees on south</t>
  </si>
  <si>
    <t>1 - 4</t>
  </si>
  <si>
    <t>House shaded on east and west by trees</t>
  </si>
  <si>
    <t>% of the designated wall areas (average of east and west walls) that are shaded by trees.</t>
  </si>
  <si>
    <t>Washer and dryer outside of conditioned space</t>
  </si>
  <si>
    <t>Floor joist perimeter insulated and sealed</t>
  </si>
  <si>
    <t>Light colored exterior walls</t>
  </si>
  <si>
    <t>1 - 2</t>
  </si>
  <si>
    <t>Light colored interior walls, ceilings, carpet/floors</t>
  </si>
  <si>
    <t>all major living spaces wall and ceiling surfaces have a reflectance of at least 50%</t>
  </si>
  <si>
    <t>Max 100W fixtures in bathrooms</t>
  </si>
  <si>
    <t>South roof area for future solar use</t>
  </si>
  <si>
    <t>Pre-plumb for solar hot water</t>
  </si>
  <si>
    <t>Compact hot water distribution</t>
  </si>
  <si>
    <t>Insulate all hot water pipes</t>
  </si>
  <si>
    <t>Energy-efficient clothes dryer</t>
  </si>
  <si>
    <t>Energy-efficient oven/range</t>
  </si>
  <si>
    <t>Efficient well pumping</t>
  </si>
  <si>
    <t>Efficient envelope volume</t>
  </si>
  <si>
    <t>Attached unit, zero lot-line, row house</t>
  </si>
  <si>
    <t>Recessed, sealed IC fixtures</t>
  </si>
  <si>
    <t>Outdoor lights are energy efficient.</t>
  </si>
  <si>
    <t xml:space="preserve">Total Points </t>
  </si>
  <si>
    <t>Total points for Category 1 ( 30 min / 75 max)</t>
  </si>
  <si>
    <t>Name of HERS Rater:</t>
  </si>
  <si>
    <t>Certifying Agent Category 1:</t>
  </si>
  <si>
    <t>Confirmed Florida HERS Rating - 3 points for each HERS Index point below 90</t>
  </si>
  <si>
    <t>bedrooms and all major living spaces have floors, walls, &amp; ceilings are light-colored</t>
  </si>
  <si>
    <t>No submittals required</t>
  </si>
  <si>
    <t>Submittals</t>
  </si>
  <si>
    <t>CATEGORY 2:   Water</t>
  </si>
  <si>
    <t>Fixtures</t>
  </si>
  <si>
    <t>2 - 3</t>
  </si>
  <si>
    <t xml:space="preserve">Water saving clothes washer </t>
  </si>
  <si>
    <t>: Water factor (WF) of clothes washer</t>
  </si>
  <si>
    <t>-</t>
  </si>
  <si>
    <t>All showers equipped with only 1 showerhead per shower</t>
  </si>
  <si>
    <t>No garbage disposal</t>
  </si>
  <si>
    <t>Duel flush or low flow toilets</t>
  </si>
  <si>
    <t>Toilet with UNAR Map Rating</t>
  </si>
  <si>
    <t>Greywater Reuse</t>
  </si>
  <si>
    <t>System Installed</t>
  </si>
  <si>
    <t>Vanity water collection for toilet flushing</t>
  </si>
  <si>
    <t>Air conditioner condensate re-use</t>
  </si>
  <si>
    <t>Rainwater Harvesting</t>
  </si>
  <si>
    <t>System installed with dedicated use</t>
  </si>
  <si>
    <t>System rough in with simple collection</t>
  </si>
  <si>
    <t>Reclaimed Water Reuse</t>
  </si>
  <si>
    <t>Water for irrigation</t>
  </si>
  <si>
    <t>Meter on reclaimed irrigation system</t>
  </si>
  <si>
    <t>Volume based pricing arrangement</t>
  </si>
  <si>
    <t>For toilet flushing</t>
  </si>
  <si>
    <t>Installed Landscape</t>
  </si>
  <si>
    <t>1 - 3</t>
  </si>
  <si>
    <t>:Percentage of drought tolerant plant</t>
  </si>
  <si>
    <t>All plants/trees selected to be compatible with local environment / microclimate</t>
  </si>
  <si>
    <t>Turf less then 50% of landscape</t>
  </si>
  <si>
    <t>Evenly shaped turf areas, no turf on berms</t>
  </si>
  <si>
    <t>Plants with similar maintenance requirements grouped together</t>
  </si>
  <si>
    <t>Mulch applied 3 - 4 inches deep around plants</t>
  </si>
  <si>
    <t>Non-Cypress mulch used</t>
  </si>
  <si>
    <t>Soil tested and amended where necessary</t>
  </si>
  <si>
    <t>No permanent installed irrigation system</t>
  </si>
  <si>
    <t>Innovative irrigation technology</t>
  </si>
  <si>
    <t>1 - 5</t>
  </si>
  <si>
    <t>Irrigated land according to FGBC standard</t>
  </si>
  <si>
    <t>square footage of land with installed irrigation</t>
  </si>
  <si>
    <t>Head to head coverage for Rotor/spray heads</t>
  </si>
  <si>
    <t>Minimize overspray on impermeable surfaces</t>
  </si>
  <si>
    <t>Provide owner &amp; FGBC with plan and instructions</t>
  </si>
  <si>
    <t>High volume irrigation does not exceed 60% of landscape area</t>
  </si>
  <si>
    <t>Total Points</t>
  </si>
  <si>
    <t>Total points for Category 2 ( 15 min / 40 max)</t>
  </si>
  <si>
    <t>Certifying Agent Category 2:</t>
  </si>
  <si>
    <t>FGBC c/o Florida Solar Energy Center</t>
  </si>
  <si>
    <t>Non Member</t>
  </si>
  <si>
    <t>Builder Information</t>
  </si>
  <si>
    <t>Home Information</t>
  </si>
  <si>
    <t>Name:</t>
  </si>
  <si>
    <t>Company:</t>
  </si>
  <si>
    <t>Address:</t>
  </si>
  <si>
    <t>City / Zip:</t>
  </si>
  <si>
    <t>Phone:</t>
  </si>
  <si>
    <t>Fax:</t>
  </si>
  <si>
    <t>E-mail:</t>
  </si>
  <si>
    <t>Certifying Agent Information</t>
  </si>
  <si>
    <t>Date:</t>
  </si>
  <si>
    <t>FGBC Home Score</t>
  </si>
  <si>
    <t>Category</t>
  </si>
  <si>
    <t>Your Score</t>
  </si>
  <si>
    <t>Required Min - Max</t>
  </si>
  <si>
    <t>Category 1: Energy</t>
  </si>
  <si>
    <t>30 - 75</t>
  </si>
  <si>
    <t>Category 2: Water</t>
  </si>
  <si>
    <t>15 - 40</t>
  </si>
  <si>
    <t>Category 3: Lot Choice</t>
  </si>
  <si>
    <t>0 - 15</t>
  </si>
  <si>
    <t>Category 4: Site</t>
  </si>
  <si>
    <t>5 - 30</t>
  </si>
  <si>
    <t>Category 5: Health</t>
  </si>
  <si>
    <t>15 - 35</t>
  </si>
  <si>
    <t>Category 6: Materials</t>
  </si>
  <si>
    <t>10 - 35</t>
  </si>
  <si>
    <t>Category 7: Disaster Mitigation</t>
  </si>
  <si>
    <t>Category 8: General</t>
  </si>
  <si>
    <t xml:space="preserve"> 0 - 40</t>
  </si>
  <si>
    <t>Total:</t>
  </si>
  <si>
    <t>Total Need:</t>
  </si>
  <si>
    <t>Category Minimum 30 / Category Maximum 75</t>
  </si>
  <si>
    <t>Category Minimum 15 / Category Maximum 40</t>
  </si>
  <si>
    <t>1 - 6</t>
  </si>
  <si>
    <t>House built within designated FGBC green land development</t>
  </si>
  <si>
    <t>% of land development that scored beyond the minimum compliance of FGBC standard</t>
  </si>
  <si>
    <t>Home within a certified green local government</t>
  </si>
  <si>
    <t>Build on an infill site</t>
  </si>
  <si>
    <t>Site within 1/2 mile of existing infrastructure</t>
  </si>
  <si>
    <t>Site within 1/2 mile of public open/green space</t>
  </si>
  <si>
    <t>Site within 1/4 mile of basic community resources</t>
  </si>
  <si>
    <t xml:space="preserve">Site located in TND or small lot cluster development </t>
  </si>
  <si>
    <t>Brownfield site</t>
  </si>
  <si>
    <t>Total points for Category 3 ( 0 min / 15 max)</t>
  </si>
  <si>
    <t>Certifying Agent Category 3:</t>
  </si>
  <si>
    <t>Category Minimum 0 / Category Maximum 15</t>
  </si>
  <si>
    <t>Arts and entertainment center</t>
  </si>
  <si>
    <t>Bank</t>
  </si>
  <si>
    <t>Community or civic center</t>
  </si>
  <si>
    <t>Convenience store</t>
  </si>
  <si>
    <t>Daycare center</t>
  </si>
  <si>
    <t>Fire station</t>
  </si>
  <si>
    <t>Fitness center or gym</t>
  </si>
  <si>
    <t>Laundry or dry cleaner</t>
  </si>
  <si>
    <t>Library</t>
  </si>
  <si>
    <t>Medical or dental office</t>
  </si>
  <si>
    <t>Pharmacy</t>
  </si>
  <si>
    <t>Police station</t>
  </si>
  <si>
    <t>Post office</t>
  </si>
  <si>
    <t>Place of worship</t>
  </si>
  <si>
    <t>Restaurant</t>
  </si>
  <si>
    <t>School</t>
  </si>
  <si>
    <t>Supermarket</t>
  </si>
  <si>
    <t>Other Neighborhood-serving retail</t>
  </si>
  <si>
    <t>Other office building or major employment center</t>
  </si>
  <si>
    <t>1/2 Mile</t>
  </si>
  <si>
    <t>CATEGORY 3:   Lot Choice</t>
  </si>
  <si>
    <t>CATEGORY 4:   Site</t>
  </si>
  <si>
    <t>Native Tree and Plan Preservation</t>
  </si>
  <si>
    <t>Maximize tree survivability</t>
  </si>
  <si>
    <t>Minimize soil compaction</t>
  </si>
  <si>
    <t>Replant or donate removed vegetation</t>
  </si>
  <si>
    <t>1 - 9</t>
  </si>
  <si>
    <t>Preserve or create wildlife habitat / shelter</t>
  </si>
  <si>
    <t>% of property that was created or preserved as a wildlife habitat or shelter</t>
  </si>
  <si>
    <t>On Site Waste Management</t>
  </si>
  <si>
    <t>Reuse cleared materials for mulch / landscape</t>
  </si>
  <si>
    <t>Mill clear trees</t>
  </si>
  <si>
    <t>Erosion Control / Topsoil Preservation</t>
  </si>
  <si>
    <t>Develop an erosion control site plan</t>
  </si>
  <si>
    <t>Stabilize disturbed soil</t>
  </si>
  <si>
    <t>Stage disturbance</t>
  </si>
  <si>
    <t>Control sediment runoff during construction</t>
  </si>
  <si>
    <t>Save and reuse any removed topsoil</t>
  </si>
  <si>
    <t>Drainage / Retention</t>
  </si>
  <si>
    <t>Onsite designated retention area</t>
  </si>
  <si>
    <t>Direct filtered rooftop runoff to planted area(s)</t>
  </si>
  <si>
    <t>Maintain pervious surface area (If not taking points input 1 for Total Lot Area)</t>
  </si>
  <si>
    <t>Partial Pervious</t>
  </si>
  <si>
    <t>% Pervious Material</t>
  </si>
  <si>
    <t>Total Lot Area (sq. ft.)</t>
  </si>
  <si>
    <t>Coverage Area (sq. ft.)</t>
  </si>
  <si>
    <t>100% Pervious sq. ft.</t>
  </si>
  <si>
    <t>Equivalent Pervious Area --&gt;</t>
  </si>
  <si>
    <t>Equivalent Pervious Area (semi-pervious)</t>
  </si>
  <si>
    <t>Total points for pervious area</t>
  </si>
  <si>
    <t>Total points for Category 4 ( 5 min / 30 max)</t>
  </si>
  <si>
    <t>Certifying Agent Category 4:</t>
  </si>
  <si>
    <t>Restrict all construction equipment from driving on site during construction except for</t>
  </si>
  <si>
    <t>area of future driveway</t>
  </si>
  <si>
    <t xml:space="preserve">area of &lt;25% of site. </t>
  </si>
  <si>
    <t>Mulch is both cleared and reused:</t>
  </si>
  <si>
    <t>onsite</t>
  </si>
  <si>
    <t>offsite</t>
  </si>
  <si>
    <t>both onsite and offsite</t>
  </si>
  <si>
    <t>Category Minimum 5 / Category Maximum 30</t>
  </si>
  <si>
    <t>Minimum</t>
  </si>
  <si>
    <t>Allowed</t>
  </si>
  <si>
    <t>Maximum</t>
  </si>
  <si>
    <t>Energy</t>
  </si>
  <si>
    <t>Water</t>
  </si>
  <si>
    <t>Lot Choice</t>
  </si>
  <si>
    <t>Site</t>
  </si>
  <si>
    <t>Health</t>
  </si>
  <si>
    <t>Materials</t>
  </si>
  <si>
    <t>Disaster Mitigation</t>
  </si>
  <si>
    <t>General</t>
  </si>
  <si>
    <t>Total</t>
  </si>
  <si>
    <t>Failed</t>
  </si>
  <si>
    <t>Bronze</t>
  </si>
  <si>
    <t>Silver</t>
  </si>
  <si>
    <t>Gold</t>
  </si>
  <si>
    <t>Platinum</t>
  </si>
  <si>
    <t>Combustion</t>
  </si>
  <si>
    <t>Detached garage, carport, or no garage</t>
  </si>
  <si>
    <t>Attached garage with air barrier between garage and living space (including attic)</t>
  </si>
  <si>
    <t>Attached garage - exhaust fan on motion sensor and timer</t>
  </si>
  <si>
    <t>No unsealed space or water heating combustion located inside the conditioned area - or electric</t>
  </si>
  <si>
    <t>Space Heating</t>
  </si>
  <si>
    <t>Water Heating</t>
  </si>
  <si>
    <t>Electric</t>
  </si>
  <si>
    <t>Sealed combustion equipment</t>
  </si>
  <si>
    <t>Sealed combustion closet</t>
  </si>
  <si>
    <t>Outside of conditioned space</t>
  </si>
  <si>
    <t>Carbon monoxide alarm</t>
  </si>
  <si>
    <t>Moisture Control</t>
  </si>
  <si>
    <t>Drainage tile on and around top of footing</t>
  </si>
  <si>
    <t>Drainage board for below grade walls</t>
  </si>
  <si>
    <t>Gravel bed beneath slab on grade floors</t>
  </si>
  <si>
    <t>Seal slab penetration</t>
  </si>
  <si>
    <t>Capillary break between foundation and framing</t>
  </si>
  <si>
    <t>Central dehumidification system</t>
  </si>
  <si>
    <t>No vapor barrier on inside of assemblies</t>
  </si>
  <si>
    <t>Source Control (materials)</t>
  </si>
  <si>
    <t>No exposed urea-formaldehyde particleboard</t>
  </si>
  <si>
    <t>Zero VOC paints, stains, and finishes</t>
  </si>
  <si>
    <t>Low VOC paints, stains, and finishes</t>
  </si>
  <si>
    <t>Low VOC sealants and adhesives</t>
  </si>
  <si>
    <t>Minimize carpet use</t>
  </si>
  <si>
    <t>Healthy insulation</t>
  </si>
  <si>
    <t>Protect ducts during construction</t>
  </si>
  <si>
    <t>Integrated pest management plan</t>
  </si>
  <si>
    <t>Cleanability</t>
  </si>
  <si>
    <t xml:space="preserve"> 1 - 2</t>
  </si>
  <si>
    <t>Central vacuum system</t>
  </si>
  <si>
    <t>System roughed in</t>
  </si>
  <si>
    <t>Installed with exhaust outdoor</t>
  </si>
  <si>
    <t>Installed with exhaust indoor thru HEPA filter</t>
  </si>
  <si>
    <t>Grout lines &lt; 1/4"</t>
  </si>
  <si>
    <t>Useable entry area</t>
  </si>
  <si>
    <t>Low dust collecting window coverings</t>
  </si>
  <si>
    <t>Design</t>
  </si>
  <si>
    <t>Barrier free entrance</t>
  </si>
  <si>
    <t xml:space="preserve">1 -3 </t>
  </si>
  <si>
    <t>Universally designed living area</t>
  </si>
  <si>
    <t>Ventilation</t>
  </si>
  <si>
    <t>Controlled mechanical ventilation</t>
  </si>
  <si>
    <t>Radon/Soil gas vent system installed</t>
  </si>
  <si>
    <t>Floor drain sealed</t>
  </si>
  <si>
    <t>Kitchen range hood vented to exterior</t>
  </si>
  <si>
    <t>Laundry rooms inside conditioned space must have window or other make-up air source</t>
  </si>
  <si>
    <t>Whole house positive filtration</t>
  </si>
  <si>
    <t>HVAC filter easily accessible</t>
  </si>
  <si>
    <t>Install screens on all windows and doors (excluding front door)</t>
  </si>
  <si>
    <t xml:space="preserve">No air handler/return ducts in garage or unsealed garage attic </t>
  </si>
  <si>
    <t>Written plan for exhaust and intake vents</t>
  </si>
  <si>
    <t>Manual D duct design</t>
  </si>
  <si>
    <t>Total points for Category 5 ( 15 min / 35 max)</t>
  </si>
  <si>
    <t>Certifying Agent Category 5:</t>
  </si>
  <si>
    <t>Components</t>
  </si>
  <si>
    <t>Recycled content roof material</t>
  </si>
  <si>
    <t>Engineered wood products for roof and or floor</t>
  </si>
  <si>
    <t>80% of floor (or code allowance)</t>
  </si>
  <si>
    <t>80% of roof (or code allowance)</t>
  </si>
  <si>
    <t>Certified sustainable lumber</t>
  </si>
  <si>
    <t>Engineered / alternative material for outdoor living</t>
  </si>
  <si>
    <t>Concrete with fly ash or blast furnace slag</t>
  </si>
  <si>
    <t>Recycled content siding or soffit material</t>
  </si>
  <si>
    <t>Eco-friendly insulation</t>
  </si>
  <si>
    <t>Recycled content drywall</t>
  </si>
  <si>
    <t>Recycled content paint</t>
  </si>
  <si>
    <t>Recycled content air conditioner condenser pad</t>
  </si>
  <si>
    <t>Finger jointed or laminated products</t>
  </si>
  <si>
    <t>Eco-friendly trim</t>
  </si>
  <si>
    <t>Steel interior studs</t>
  </si>
  <si>
    <t>Eco-friendly flooring material</t>
  </si>
  <si>
    <t>Eco-friendly ceiling materials</t>
  </si>
  <si>
    <t>Locally produced materials</t>
  </si>
  <si>
    <t>Waste Reduction</t>
  </si>
  <si>
    <t>Resource efficient wall system will integral insulation</t>
  </si>
  <si>
    <t>2 - 4</t>
  </si>
  <si>
    <t>Implement job site waste management</t>
  </si>
  <si>
    <t># of items implemented</t>
  </si>
  <si>
    <t>Compost bin/built in collection of recyclables</t>
  </si>
  <si>
    <t>Perimeter based on 2 foot dimensions</t>
  </si>
  <si>
    <t>Interior floor plan based on 2 foot dimensions</t>
  </si>
  <si>
    <t>Stack framing</t>
  </si>
  <si>
    <t>2-stud corners with drywall clips</t>
  </si>
  <si>
    <t>T-wall with drywall clips</t>
  </si>
  <si>
    <t>Durability</t>
  </si>
  <si>
    <t>Large overhangs (eave and gable)</t>
  </si>
  <si>
    <t>Air admittance vents</t>
  </si>
  <si>
    <t>Wood frame house uses vented rain screen</t>
  </si>
  <si>
    <t>Siding and exterior trim primed all sides</t>
  </si>
  <si>
    <t>Window and door flashing</t>
  </si>
  <si>
    <t>Plants/turf minimum of 2ft. from foundation</t>
  </si>
  <si>
    <t>Automatic in home water sensor/shut off system installed</t>
  </si>
  <si>
    <t>Access panel to non-accessible plumbing fixture</t>
  </si>
  <si>
    <t>Laundry room below living floor or drain installed</t>
  </si>
  <si>
    <t>Total points for Category 6 ( 10 min / 35 max)</t>
  </si>
  <si>
    <t>Certifying Agent Category 6:</t>
  </si>
  <si>
    <t>Category Minimum 15 / Category Maximum 35</t>
  </si>
  <si>
    <t>CATEGORY 5:  Health</t>
  </si>
  <si>
    <t>CATEGORY 6:  Materials</t>
  </si>
  <si>
    <t>Category Minimum 10 / Category Maximum 35</t>
  </si>
  <si>
    <t>Hurricane (wind, rain, storm surge)</t>
  </si>
  <si>
    <t>Safe room</t>
  </si>
  <si>
    <t>Exterior structures properly anchored</t>
  </si>
  <si>
    <t>Secondary water protection installed on roof</t>
  </si>
  <si>
    <t>Adhesive applied to roof sheathing</t>
  </si>
  <si>
    <t>Roof covering above and below flashing</t>
  </si>
  <si>
    <t>Comply with fortified for safer living standards</t>
  </si>
  <si>
    <t>Finished floor level at least 12" above 100 yr flood plain</t>
  </si>
  <si>
    <t>Bottom of slab at least 8" above the top of backfilled dirt, graded for proper drainage</t>
  </si>
  <si>
    <t>Grade slopes away from building on all sides</t>
  </si>
  <si>
    <t>Fire resistant exterior wall cladding</t>
  </si>
  <si>
    <t>Fire resistant roof covering or sub-roof</t>
  </si>
  <si>
    <t>Fire resistant soffit and vent material</t>
  </si>
  <si>
    <t>Seal slab penetrations</t>
  </si>
  <si>
    <t>Vegetation &gt; 2 ft. from foundation</t>
  </si>
  <si>
    <t>Slopes graded away from building</t>
  </si>
  <si>
    <t>Exterior cladding installed to prohibit intrusion</t>
  </si>
  <si>
    <t>Downspouts discharge a minimum of 3' from home</t>
  </si>
  <si>
    <t>Irrigation/sprinkler water does not hit building</t>
  </si>
  <si>
    <t>Damage replacement warranty issued and available for annual renewal</t>
  </si>
  <si>
    <t>Chemical soil treatment avoided</t>
  </si>
  <si>
    <t>Total points for Category 7 ( 5 min / 30 max)</t>
  </si>
  <si>
    <t>Certifying Agent Category 7:</t>
  </si>
  <si>
    <t>OR</t>
  </si>
  <si>
    <t>Small House Credit</t>
  </si>
  <si>
    <t>0 - 40</t>
  </si>
  <si>
    <r>
      <t xml:space="preserve">Conditioned house size </t>
    </r>
    <r>
      <rPr>
        <i/>
        <sz val="10"/>
        <rFont val="Arial"/>
        <family val="2"/>
      </rPr>
      <t xml:space="preserve">(enter </t>
    </r>
    <r>
      <rPr>
        <b/>
        <i/>
        <sz val="10"/>
        <rFont val="Arial"/>
        <family val="2"/>
      </rPr>
      <t xml:space="preserve">no </t>
    </r>
    <r>
      <rPr>
        <i/>
        <sz val="10"/>
        <rFont val="Arial"/>
        <family val="2"/>
      </rPr>
      <t>if not claiming any points)</t>
    </r>
  </si>
  <si>
    <t>:square feet of conditioned area</t>
  </si>
  <si>
    <t>Adaptability</t>
  </si>
  <si>
    <t>Roof trusses designed for addition</t>
  </si>
  <si>
    <t>Unfinished rooms</t>
  </si>
  <si>
    <t>Renewable Power Generation</t>
  </si>
  <si>
    <t>Reduce peak demand or annual load</t>
  </si>
  <si>
    <t>Remodel</t>
  </si>
  <si>
    <t>Toilets 1.6 gpf and showers 2.5 gmp or less</t>
  </si>
  <si>
    <t>Upgrade existing installed irrigation with rain gauge, timer and code irrigation heads</t>
  </si>
  <si>
    <t>Other</t>
  </si>
  <si>
    <t>Home builder/designer/architect/landscape architect member of FGBC</t>
  </si>
  <si>
    <t>:Number of members on the team that are members of FGBC</t>
  </si>
  <si>
    <t>Homeowner's manual given to homeowner</t>
  </si>
  <si>
    <t>Educational material given to homeowner</t>
  </si>
  <si>
    <t>Training provided to homeowner</t>
  </si>
  <si>
    <t>Plan for edible landscape/food garden</t>
  </si>
  <si>
    <t>Guaranteed energy bills</t>
  </si>
  <si>
    <t>Cooling system uses non-hcfc</t>
  </si>
  <si>
    <t>INNOVATIVE CREDITS</t>
  </si>
  <si>
    <t>Description of innovation:</t>
  </si>
  <si>
    <t>Total points for Category 8 ( 0 min / 40 max)</t>
  </si>
  <si>
    <t>Certifying Agent Category 8:</t>
  </si>
  <si>
    <t>CATEGORY 8:  General</t>
  </si>
  <si>
    <t>Category Minimum 0 / Category Maximum 40</t>
  </si>
  <si>
    <t xml:space="preserve">Direct vent, sealed combustion fireplace w/ electronic ignition, factory </t>
  </si>
  <si>
    <t>Flood (must incorporate all four)</t>
  </si>
  <si>
    <t>Wildfire (must incorporate all four)</t>
  </si>
  <si>
    <t>Bottom of slab at least 8" above the top of backfilled dirt</t>
  </si>
  <si>
    <t>, graded for proper drainage</t>
  </si>
  <si>
    <t xml:space="preserve">Garage floor &amp; driveway sloped to drain out. Garage floor at </t>
  </si>
  <si>
    <t>least 4" lower then living floor</t>
  </si>
  <si>
    <t xml:space="preserve">Condensate line(s) discharge a minimum of 2' from home and </t>
  </si>
  <si>
    <t>are 5' from dryer vent</t>
  </si>
  <si>
    <t>All wood lumber, sheet products, and exterior finish material are .</t>
  </si>
  <si>
    <t>borate or ACQ treated</t>
  </si>
  <si>
    <t xml:space="preserve">Upgrade existing installed irrigation with rain gauge, </t>
  </si>
  <si>
    <t>timer and code irrigation heads</t>
  </si>
  <si>
    <t>Insert your scores below- verify that you have achieved each category minimum - total your score</t>
  </si>
  <si>
    <t>SUBMITTING YOUR CERTIFICATION</t>
  </si>
  <si>
    <t>A FGBC Certifying agent must submit your completed checklist with documentation for certification</t>
  </si>
  <si>
    <t>Mail the checklist and application fee to:</t>
  </si>
  <si>
    <t>1679 Clearlake Road</t>
  </si>
  <si>
    <t>Cocoa, FL 32922</t>
  </si>
  <si>
    <t>Include a Check payable to the Florida Green Building Coalition</t>
  </si>
  <si>
    <t>Non Members</t>
  </si>
  <si>
    <t>This Green Home Certification Standard</t>
  </si>
  <si>
    <t xml:space="preserve">is endorsed by the Florida Home </t>
  </si>
  <si>
    <t>Builders Association</t>
  </si>
  <si>
    <t>Name</t>
  </si>
  <si>
    <t>Company</t>
  </si>
  <si>
    <t>Address</t>
  </si>
  <si>
    <t>City/Zip</t>
  </si>
  <si>
    <t>Phone</t>
  </si>
  <si>
    <t>Fax</t>
  </si>
  <si>
    <t>E-mail</t>
  </si>
  <si>
    <t>By signing below we acknowledge that each of the measures</t>
  </si>
  <si>
    <t xml:space="preserve"> have  been incorporated into the home's  construction / renovation.</t>
  </si>
  <si>
    <t>Home Builder</t>
  </si>
  <si>
    <t>Home Owner</t>
  </si>
  <si>
    <t>Certifying Agent</t>
  </si>
  <si>
    <t>Date</t>
  </si>
  <si>
    <t>Total Gross Wall Area</t>
  </si>
  <si>
    <t>Conditional Square Footage</t>
  </si>
  <si>
    <t>Number of Stories</t>
  </si>
  <si>
    <t>I</t>
  </si>
  <si>
    <t>Understand</t>
  </si>
  <si>
    <t>Universally designed living area                                                          1-3 Pts.</t>
  </si>
  <si>
    <t>Unvented attic or No attic</t>
  </si>
  <si>
    <r>
      <t xml:space="preserve">50% of all doors are reused doors </t>
    </r>
    <r>
      <rPr>
        <b/>
        <sz val="11"/>
        <color indexed="8"/>
        <rFont val="Calibri"/>
        <family val="2"/>
      </rPr>
      <t>or</t>
    </r>
    <r>
      <rPr>
        <sz val="11"/>
        <color theme="1"/>
        <rFont val="Calibri"/>
        <family val="2"/>
        <scheme val="minor"/>
      </rPr>
      <t xml:space="preserve"> 50% of all windows are reused windows</t>
    </r>
  </si>
  <si>
    <r>
      <t xml:space="preserve">Member of FGBC </t>
    </r>
    <r>
      <rPr>
        <b/>
        <sz val="11"/>
        <color indexed="8"/>
        <rFont val="Calibri"/>
        <family val="2"/>
      </rPr>
      <t>and</t>
    </r>
    <r>
      <rPr>
        <sz val="11"/>
        <color indexed="8"/>
        <rFont val="Calibri"/>
        <family val="2"/>
      </rPr>
      <t xml:space="preserve"> FHBA</t>
    </r>
  </si>
  <si>
    <r>
      <t xml:space="preserve">Member of FGBC </t>
    </r>
    <r>
      <rPr>
        <b/>
        <sz val="11"/>
        <color indexed="8"/>
        <rFont val="Calibri"/>
        <family val="2"/>
      </rPr>
      <t>or</t>
    </r>
    <r>
      <rPr>
        <sz val="11"/>
        <color indexed="8"/>
        <rFont val="Calibri"/>
        <family val="2"/>
      </rPr>
      <t xml:space="preserve"> FHBA</t>
    </r>
  </si>
  <si>
    <t>3 - 75</t>
  </si>
  <si>
    <t>Certification Level:</t>
  </si>
  <si>
    <t xml:space="preserve">No class 1 invasive exotic plant species </t>
  </si>
  <si>
    <t>Roofed porch, Min 100ft^2 AND 3 sides open</t>
  </si>
  <si>
    <t>Dwelling unit attached, zero lot-line, row house</t>
  </si>
  <si>
    <t>Separate zones for turf and landscape beds - multi program controller</t>
  </si>
  <si>
    <t>In poor drainage (low) areas, heads are installed with check valves</t>
  </si>
  <si>
    <t>Irrigation heads have matched precipitation rules</t>
  </si>
  <si>
    <t>Micro-irrigation only in landscape beds and narrow areas</t>
  </si>
  <si>
    <t xml:space="preserve">Site located in small lot cluster development </t>
  </si>
  <si>
    <t xml:space="preserve">  </t>
  </si>
  <si>
    <t xml:space="preserve">Healthy flooring </t>
  </si>
  <si>
    <t>Efficient HVAC filter</t>
  </si>
  <si>
    <t xml:space="preserve">Install screens on all windows and doors </t>
  </si>
  <si>
    <t>Develop a construction and demolition waste management plan</t>
  </si>
  <si>
    <t>Use armored/ metal hoses from service to all fixtures/appliances</t>
  </si>
  <si>
    <t>Access panel to non-accessible plumbing fixture installed</t>
  </si>
  <si>
    <t>Window, door, and skylight protection or impact resistant type</t>
  </si>
  <si>
    <t>Chemical Soil Treatment Used</t>
  </si>
  <si>
    <t>Chemical Soil Treatment Avoided</t>
  </si>
  <si>
    <t>AND</t>
  </si>
  <si>
    <t>Alternative Florida Building Code approved method of foundation protection employed</t>
  </si>
  <si>
    <t>Install a State Certified rated solar hot water system</t>
  </si>
  <si>
    <r>
      <t>Energy Star</t>
    </r>
    <r>
      <rPr>
        <sz val="11"/>
        <color indexed="8"/>
        <rFont val="Calibri"/>
        <family val="2"/>
      </rPr>
      <t>®</t>
    </r>
    <r>
      <rPr>
        <sz val="11"/>
        <color theme="1"/>
        <rFont val="Calibri"/>
        <family val="2"/>
        <scheme val="minor"/>
      </rPr>
      <t xml:space="preserve"> clothes washer</t>
    </r>
  </si>
  <si>
    <r>
      <t>Buyer given information on Energy star</t>
    </r>
    <r>
      <rPr>
        <sz val="11"/>
        <color indexed="8"/>
        <rFont val="Calibri"/>
        <family val="2"/>
      </rPr>
      <t>®</t>
    </r>
    <r>
      <rPr>
        <sz val="11"/>
        <color theme="1"/>
        <rFont val="Calibri"/>
        <family val="2"/>
        <scheme val="minor"/>
      </rPr>
      <t xml:space="preserve"> appliance if non-installed</t>
    </r>
  </si>
  <si>
    <r>
      <t>Energy Star</t>
    </r>
    <r>
      <rPr>
        <sz val="11"/>
        <color indexed="8"/>
        <rFont val="Calibri"/>
        <family val="2"/>
      </rPr>
      <t>®</t>
    </r>
    <r>
      <rPr>
        <sz val="11"/>
        <color theme="1"/>
        <rFont val="Calibri"/>
        <family val="2"/>
        <scheme val="minor"/>
      </rPr>
      <t xml:space="preserve"> Advanced Lighting Package</t>
    </r>
  </si>
  <si>
    <t>Low flow shower heads</t>
  </si>
  <si>
    <t>Air conditioner condensate reuse</t>
  </si>
  <si>
    <t>Site within 1/4 mile to mass transit</t>
  </si>
  <si>
    <t>On Site Use of Cleared Materials</t>
  </si>
  <si>
    <t xml:space="preserve">Source Control </t>
  </si>
  <si>
    <t>Universal Design</t>
  </si>
  <si>
    <r>
      <t>Energy star</t>
    </r>
    <r>
      <rPr>
        <sz val="11"/>
        <color indexed="8"/>
        <rFont val="Calibri"/>
        <family val="2"/>
      </rPr>
      <t>®</t>
    </r>
    <r>
      <rPr>
        <sz val="11"/>
        <color theme="1"/>
        <rFont val="Calibri"/>
        <family val="2"/>
        <scheme val="minor"/>
      </rPr>
      <t xml:space="preserve"> bath fans with timer or humidistat</t>
    </r>
  </si>
  <si>
    <t>Prewired for security, sound, and automation</t>
  </si>
  <si>
    <t xml:space="preserve">1 - 5 </t>
  </si>
  <si>
    <t xml:space="preserve">No turf adjacent to water </t>
  </si>
  <si>
    <t>Cross ventilation and ceiling fans code credit</t>
  </si>
  <si>
    <r>
      <t>Roofed porch, Min 100ft</t>
    </r>
    <r>
      <rPr>
        <vertAlign val="superscript"/>
        <sz val="10"/>
        <rFont val="Arial"/>
        <family val="2"/>
      </rPr>
      <t xml:space="preserve">2 </t>
    </r>
    <r>
      <rPr>
        <sz val="10"/>
        <rFont val="Arial"/>
        <family val="2"/>
      </rPr>
      <t xml:space="preserve"> AND 3 sides open</t>
    </r>
  </si>
  <si>
    <t>Install a state certified rated solar hot water system</t>
  </si>
  <si>
    <t>All showers equipped with 1 showerhead</t>
  </si>
  <si>
    <t>Drought tolerant turf in sunny areas only, no turf in densely shaded areas</t>
  </si>
  <si>
    <r>
      <t>Meet or exceed Water Star</t>
    </r>
    <r>
      <rPr>
        <sz val="11"/>
        <rFont val="Calibri"/>
        <family val="2"/>
      </rPr>
      <t>™</t>
    </r>
    <r>
      <rPr>
        <sz val="11"/>
        <rFont val="Calibri"/>
        <family val="2"/>
      </rPr>
      <t xml:space="preserve"> standards:</t>
    </r>
  </si>
  <si>
    <t>On Site use of Cleared Materials</t>
  </si>
  <si>
    <t>built wood burning fireplace or no fireplace present</t>
  </si>
  <si>
    <t>No unsealed space or water heating combustion located inside the conditioned area or electric</t>
  </si>
  <si>
    <t>Healthy flooring</t>
  </si>
  <si>
    <t>Develop a construction a demolition waste management plan</t>
  </si>
  <si>
    <r>
      <t xml:space="preserve">3 in 12 </t>
    </r>
    <r>
      <rPr>
        <sz val="11"/>
        <color indexed="8"/>
        <rFont val="Calibri"/>
        <family val="2"/>
      </rPr>
      <t>≤</t>
    </r>
    <r>
      <rPr>
        <sz val="11"/>
        <color theme="1"/>
        <rFont val="Calibri"/>
        <family val="2"/>
        <scheme val="minor"/>
      </rPr>
      <t xml:space="preserve"> roof slope </t>
    </r>
    <r>
      <rPr>
        <sz val="11"/>
        <color indexed="8"/>
        <rFont val="Calibri"/>
        <family val="2"/>
      </rPr>
      <t>≤</t>
    </r>
    <r>
      <rPr>
        <sz val="9.35"/>
        <color indexed="8"/>
        <rFont val="Calibri"/>
        <family val="2"/>
      </rPr>
      <t xml:space="preserve"> </t>
    </r>
    <r>
      <rPr>
        <sz val="11"/>
        <color theme="1"/>
        <rFont val="Calibri"/>
        <family val="2"/>
        <scheme val="minor"/>
      </rPr>
      <t>6 in 12</t>
    </r>
  </si>
  <si>
    <r>
      <t xml:space="preserve">3 in 12 </t>
    </r>
    <r>
      <rPr>
        <sz val="11"/>
        <color indexed="8"/>
        <rFont val="Calibri"/>
        <family val="2"/>
      </rPr>
      <t>≤</t>
    </r>
    <r>
      <rPr>
        <sz val="11"/>
        <color theme="1"/>
        <rFont val="Calibri"/>
        <family val="2"/>
        <scheme val="minor"/>
      </rPr>
      <t xml:space="preserve"> roof slope </t>
    </r>
    <r>
      <rPr>
        <sz val="11"/>
        <color indexed="8"/>
        <rFont val="Calibri"/>
        <family val="2"/>
      </rPr>
      <t>≤</t>
    </r>
    <r>
      <rPr>
        <sz val="7.7"/>
        <color indexed="8"/>
        <rFont val="Calibri"/>
        <family val="2"/>
      </rPr>
      <t xml:space="preserve"> </t>
    </r>
    <r>
      <rPr>
        <sz val="11"/>
        <color theme="1"/>
        <rFont val="Calibri"/>
        <family val="2"/>
        <scheme val="minor"/>
      </rPr>
      <t>6 in 12</t>
    </r>
  </si>
  <si>
    <t>User-friendly (lever style) clothes washer water shutoff</t>
  </si>
  <si>
    <t>Attached garage and exterior  door protection or impact type</t>
  </si>
  <si>
    <r>
      <t xml:space="preserve">Rain gutters installed </t>
    </r>
    <r>
      <rPr>
        <b/>
        <sz val="10"/>
        <rFont val="Arial"/>
        <family val="2"/>
      </rPr>
      <t>or</t>
    </r>
    <r>
      <rPr>
        <sz val="10"/>
        <rFont val="Arial"/>
        <family val="2"/>
      </rPr>
      <t xml:space="preserve"> meet large  overhangs</t>
    </r>
  </si>
  <si>
    <t>Remodeling of an existing structure (HERS index &lt; 90)</t>
  </si>
  <si>
    <t>Name of Landscape Auditor:</t>
  </si>
  <si>
    <t>Credentials of Auditor:</t>
  </si>
  <si>
    <t>?</t>
  </si>
  <si>
    <t>Volume-based pricing arrangement</t>
  </si>
  <si>
    <t>Drought-tolerant turf, no turf in densely shaded areas</t>
  </si>
  <si>
    <t>Square footage of land with installed irrigation</t>
  </si>
  <si>
    <t>Dedicated PV's to run pool equipment</t>
  </si>
  <si>
    <t xml:space="preserve">Prerequisite 3: No Invasive Exotic Species </t>
  </si>
  <si>
    <t>Ductwork smoke tested allowing leaks to be sealed prior to drywall</t>
  </si>
  <si>
    <t>Pressure regulating valves are installed for spray zones</t>
  </si>
  <si>
    <t>All wood products serving structural or exterior finish purposes are borate or ACQ treated</t>
  </si>
  <si>
    <t>1 point for each 2kW system size</t>
  </si>
  <si>
    <t>2</t>
  </si>
  <si>
    <t xml:space="preserve">Install a minimum of 2 upgraded automation system </t>
  </si>
  <si>
    <t xml:space="preserve">Separate zones for turf and landscape beds - multi program controller </t>
  </si>
  <si>
    <t xml:space="preserve">High-volume irrigation does not exceed 60% of landscape area </t>
  </si>
  <si>
    <t xml:space="preserve">Head to head coverage for rotor/spray heads </t>
  </si>
  <si>
    <t xml:space="preserve">Minimize overspray on impermeable surfaces </t>
  </si>
  <si>
    <t xml:space="preserve">In poor drainage (low) areas, heads are installed with check valves </t>
  </si>
  <si>
    <t xml:space="preserve">Provide owner &amp; FGBC with plan and instructions </t>
  </si>
  <si>
    <t xml:space="preserve">Irrigation heads have matched precipitation rates </t>
  </si>
  <si>
    <t>required</t>
  </si>
  <si>
    <t>Sprinklers and emitters are located a minimum of 2 ft from foundation</t>
  </si>
  <si>
    <t>ALL Required</t>
  </si>
  <si>
    <t>FOR NEW HOMES</t>
  </si>
  <si>
    <t>FOR EXISTING HOMES (REMODELS)</t>
  </si>
  <si>
    <t>Attached garage and exterior door protection</t>
  </si>
  <si>
    <t>County:</t>
  </si>
  <si>
    <t xml:space="preserve">Florida Green Home Standard </t>
  </si>
  <si>
    <t>FHBA Member #:</t>
  </si>
  <si>
    <t>CA Registration #:</t>
  </si>
  <si>
    <t>FGBC Member #:</t>
  </si>
  <si>
    <t xml:space="preserve"> intended to qualify the home for the Florida Green Home  Certification</t>
  </si>
  <si>
    <t xml:space="preserve">Gold </t>
  </si>
  <si>
    <t>Project Point Summary</t>
  </si>
  <si>
    <t>Minimum Points to Qualify (may be over 100 if a category minimum is missed)</t>
  </si>
  <si>
    <t xml:space="preserve">` </t>
  </si>
  <si>
    <t>FGBC CERTIFICATION LEVELS</t>
  </si>
  <si>
    <t>Existing homes with pools - upgrade pump to variable speed or dual speed</t>
  </si>
  <si>
    <t>Total Needed:</t>
  </si>
  <si>
    <r>
      <t>The FGBC Green Home Certification program uses a tiered rating system</t>
    </r>
    <r>
      <rPr>
        <sz val="11"/>
        <color indexed="30"/>
        <rFont val="Arial"/>
        <family val="2"/>
      </rPr>
      <t xml:space="preserve">.  </t>
    </r>
    <r>
      <rPr>
        <sz val="11"/>
        <color indexed="8"/>
        <rFont val="Arial"/>
        <family val="2"/>
      </rPr>
      <t>Certification is awarded at different levels according to points achieved over the minimum point threshold.</t>
    </r>
  </si>
  <si>
    <t>City/ST/Zip:</t>
  </si>
  <si>
    <t>Instructions for Submission:</t>
  </si>
  <si>
    <t xml:space="preserve">   Electronic Submissions (preferred)</t>
  </si>
  <si>
    <t xml:space="preserve">   Mailing Instructions</t>
  </si>
  <si>
    <t>CC#:</t>
  </si>
  <si>
    <t>Signature:</t>
  </si>
  <si>
    <t>Name on Card:</t>
  </si>
  <si>
    <t>Billing Zip Code:</t>
  </si>
  <si>
    <r>
      <t xml:space="preserve">Member of FGBC </t>
    </r>
    <r>
      <rPr>
        <b/>
        <sz val="11"/>
        <rFont val="Arial"/>
        <family val="2"/>
      </rPr>
      <t>and</t>
    </r>
    <r>
      <rPr>
        <sz val="11"/>
        <rFont val="Arial"/>
        <family val="2"/>
      </rPr>
      <t xml:space="preserve"> FHBA</t>
    </r>
  </si>
  <si>
    <r>
      <t xml:space="preserve">Member of FGBC </t>
    </r>
    <r>
      <rPr>
        <b/>
        <sz val="11"/>
        <rFont val="Arial"/>
        <family val="2"/>
      </rPr>
      <t>or</t>
    </r>
    <r>
      <rPr>
        <sz val="11"/>
        <color indexed="8"/>
        <rFont val="Arial"/>
        <family val="2"/>
      </rPr>
      <t xml:space="preserve"> FHBA</t>
    </r>
  </si>
  <si>
    <t>Each home must comply with the three prerequisites in order to be eligible for certification.  Select items to obtain the minimum number of points listed for each category (category minimums).  (The sum of the minimums totals 80 points.)  Accumulate at least an additional 20 points of your choice to obtain the required 100 TOTAL* to qualify for the program.</t>
  </si>
  <si>
    <t>IMPORTANT GUIDELINES:</t>
  </si>
  <si>
    <r>
      <t xml:space="preserve">3.   If this Excel file is altered in any way, </t>
    </r>
    <r>
      <rPr>
        <sz val="11"/>
        <rFont val="Arial"/>
        <family val="2"/>
      </rPr>
      <t>the application will not be accepted</t>
    </r>
    <r>
      <rPr>
        <strike/>
        <sz val="11"/>
        <rFont val="Arial"/>
        <family val="2"/>
      </rPr>
      <t>.</t>
    </r>
    <r>
      <rPr>
        <sz val="11"/>
        <rFont val="Arial"/>
        <family val="2"/>
      </rPr>
      <t xml:space="preserve">  Altered files will be returned unprocessed to the submitter.</t>
    </r>
  </si>
  <si>
    <t> 0-30 points over the project’s required minimum</t>
  </si>
  <si>
    <t> 31-60 points over the project’s required minimum</t>
  </si>
  <si>
    <t> 61-90 points over the project’s required minimum</t>
  </si>
  <si>
    <t> 91 + points over the project’s required minimum</t>
  </si>
  <si>
    <r>
      <t xml:space="preserve">        </t>
    </r>
    <r>
      <rPr>
        <i/>
        <sz val="11"/>
        <rFont val="Arial"/>
        <family val="2"/>
      </rPr>
      <t>(Note: Payment by check is acceptable - see mailing instructions below)</t>
    </r>
  </si>
  <si>
    <r>
      <t xml:space="preserve">     </t>
    </r>
    <r>
      <rPr>
        <sz val="11"/>
        <rFont val="Wingdings"/>
        <charset val="2"/>
      </rPr>
      <t></t>
    </r>
    <r>
      <rPr>
        <sz val="11"/>
        <rFont val="Arial"/>
        <family val="2"/>
      </rPr>
      <t xml:space="preserve"> Make check payable to "FGBC" based on fee schedule OR submit credit card payment information</t>
    </r>
  </si>
  <si>
    <t>Points Toward Qualification (points over category maximums excluded)</t>
  </si>
  <si>
    <t>Total Points Achieved</t>
  </si>
  <si>
    <t>Landscape Considerations</t>
  </si>
  <si>
    <r>
      <t>Light colored exterior wa</t>
    </r>
    <r>
      <rPr>
        <sz val="11"/>
        <rFont val="Calibri"/>
        <family val="2"/>
      </rPr>
      <t>lls (80% minimum)</t>
    </r>
  </si>
  <si>
    <t>No garbage disposal or wiring for a disposal</t>
  </si>
  <si>
    <t>Toilet with UNAR Map Rating or WaterSense Label</t>
  </si>
  <si>
    <r>
      <rPr>
        <sz val="11"/>
        <color indexed="10"/>
        <rFont val="Calibri"/>
        <family val="2"/>
      </rPr>
      <t>6</t>
    </r>
    <r>
      <rPr>
        <sz val="11"/>
        <color indexed="10"/>
        <rFont val="Calibri"/>
        <family val="2"/>
      </rPr>
      <t>0%, 80%,100%, of plants/trees from drought-tolerant list</t>
    </r>
  </si>
  <si>
    <t>Mulch applied 3 - 4 inches deep around plants / no volcano mulch</t>
  </si>
  <si>
    <r>
      <rPr>
        <sz val="11"/>
        <rFont val="Calibri"/>
        <family val="2"/>
      </rPr>
      <t xml:space="preserve">Correctly installed Micro-irrigation </t>
    </r>
    <r>
      <rPr>
        <sz val="11"/>
        <rFont val="Calibri"/>
        <family val="2"/>
      </rPr>
      <t>in landscape beds and narrow areas</t>
    </r>
  </si>
  <si>
    <t>Site within 1/4 mile of existing basic community resources</t>
  </si>
  <si>
    <r>
      <t xml:space="preserve">No exposed urea-formaldehyde </t>
    </r>
    <r>
      <rPr>
        <sz val="11"/>
        <rFont val="Calibri"/>
        <family val="2"/>
      </rPr>
      <t>wood products</t>
    </r>
  </si>
  <si>
    <t xml:space="preserve"> 1  -  2</t>
  </si>
  <si>
    <t>Minimize carpet use (&lt;50% 1pt, No wall to wall carpet 2pts)</t>
  </si>
  <si>
    <r>
      <t xml:space="preserve">Engineered roof and floor </t>
    </r>
    <r>
      <rPr>
        <sz val="11"/>
        <rFont val="Calibri"/>
        <family val="2"/>
      </rPr>
      <t>components</t>
    </r>
  </si>
  <si>
    <r>
      <t xml:space="preserve">Wood frame house and/or wood frame 2nd floors </t>
    </r>
    <r>
      <rPr>
        <sz val="11"/>
        <rFont val="Calibri"/>
        <family val="2"/>
      </rPr>
      <t>designed with vented rain screen</t>
    </r>
  </si>
  <si>
    <t>Use armored, PEX, or metal hoses (except copper) from service to all fixtures/appliances</t>
  </si>
  <si>
    <t>Exterior structures and equipment properly anchored</t>
  </si>
  <si>
    <t>Remodeling structure (HERS Index &lt; 85)</t>
  </si>
  <si>
    <t>Pressure compensating spray heads installed in spray zones</t>
  </si>
  <si>
    <t>Energy-efficient clothes dryers</t>
  </si>
  <si>
    <t>Energy-efficient ovens/ranges</t>
  </si>
  <si>
    <r>
      <t>Site within 1/</t>
    </r>
    <r>
      <rPr>
        <sz val="11"/>
        <rFont val="Calibri"/>
        <family val="2"/>
      </rPr>
      <t xml:space="preserve">8 </t>
    </r>
    <r>
      <rPr>
        <sz val="11"/>
        <color theme="1"/>
        <rFont val="Calibri"/>
        <family val="2"/>
        <scheme val="minor"/>
      </rPr>
      <t>mile of existing infrastructure</t>
    </r>
  </si>
  <si>
    <r>
      <t>Bui</t>
    </r>
    <r>
      <rPr>
        <sz val="11"/>
        <rFont val="Calibri"/>
        <family val="2"/>
      </rPr>
      <t>lt</t>
    </r>
    <r>
      <rPr>
        <sz val="11"/>
        <color theme="1"/>
        <rFont val="Calibri"/>
        <family val="2"/>
        <scheme val="minor"/>
      </rPr>
      <t xml:space="preserve"> on an infill site</t>
    </r>
  </si>
  <si>
    <r>
      <t xml:space="preserve">Laundry rooms inside conditioned space must </t>
    </r>
    <r>
      <rPr>
        <sz val="11"/>
        <rFont val="Calibri"/>
        <family val="2"/>
      </rPr>
      <t>have a</t>
    </r>
    <r>
      <rPr>
        <sz val="11"/>
        <color theme="1"/>
        <rFont val="Calibri"/>
        <family val="2"/>
        <scheme val="minor"/>
      </rPr>
      <t xml:space="preserve"> make-up air source</t>
    </r>
  </si>
  <si>
    <t>Toilets 1.6 gpf and showers 2.5 gpm or less</t>
  </si>
  <si>
    <t>Garage (attached or detached)- exhaust fan on motion sensor and timer</t>
  </si>
  <si>
    <t>P1.1</t>
  </si>
  <si>
    <t>P1.2</t>
  </si>
  <si>
    <t>P1.3</t>
  </si>
  <si>
    <t>P1.4</t>
  </si>
  <si>
    <t>P2.2</t>
  </si>
  <si>
    <t>P2.1</t>
  </si>
  <si>
    <t>P2.3</t>
  </si>
  <si>
    <t>P2.4</t>
  </si>
  <si>
    <t>P3.1</t>
  </si>
  <si>
    <t>E1.1</t>
  </si>
  <si>
    <t>E2.1</t>
  </si>
  <si>
    <t>E2.2</t>
  </si>
  <si>
    <t>E2.3</t>
  </si>
  <si>
    <t>E2.4</t>
  </si>
  <si>
    <t>E2.5</t>
  </si>
  <si>
    <t>E2.6</t>
  </si>
  <si>
    <t>E2.7</t>
  </si>
  <si>
    <t>E2.8</t>
  </si>
  <si>
    <t>E2.9</t>
  </si>
  <si>
    <t>E2.10</t>
  </si>
  <si>
    <t>E2.11</t>
  </si>
  <si>
    <t>E2.12</t>
  </si>
  <si>
    <t>E2.13</t>
  </si>
  <si>
    <t>E2.14</t>
  </si>
  <si>
    <t>E2.15</t>
  </si>
  <si>
    <t>E2.16</t>
  </si>
  <si>
    <t>E2.17</t>
  </si>
  <si>
    <t>E2.18</t>
  </si>
  <si>
    <t>E2.19</t>
  </si>
  <si>
    <t>E2.20</t>
  </si>
  <si>
    <t>E2.21</t>
  </si>
  <si>
    <t>E2.22</t>
  </si>
  <si>
    <t>E2.23</t>
  </si>
  <si>
    <t>E2.25</t>
  </si>
  <si>
    <t>E2.26</t>
  </si>
  <si>
    <t>E2.27</t>
  </si>
  <si>
    <t>W1.1</t>
  </si>
  <si>
    <t>W1.2</t>
  </si>
  <si>
    <t>W1.3</t>
  </si>
  <si>
    <t>W1.4</t>
  </si>
  <si>
    <t>W1.5</t>
  </si>
  <si>
    <t>W1.6</t>
  </si>
  <si>
    <t>W1.7</t>
  </si>
  <si>
    <t>W2.1</t>
  </si>
  <si>
    <t>W2.2</t>
  </si>
  <si>
    <t>W2.3</t>
  </si>
  <si>
    <t>W3.1</t>
  </si>
  <si>
    <t>W4.1</t>
  </si>
  <si>
    <t>W4.2</t>
  </si>
  <si>
    <t>W4.3</t>
  </si>
  <si>
    <t>W4.4</t>
  </si>
  <si>
    <t>W5.1</t>
  </si>
  <si>
    <t>W5.2</t>
  </si>
  <si>
    <t>W5.3</t>
  </si>
  <si>
    <t>W5.4</t>
  </si>
  <si>
    <t>W5.5</t>
  </si>
  <si>
    <t>W5.6</t>
  </si>
  <si>
    <t>W5.7</t>
  </si>
  <si>
    <t>W5.8</t>
  </si>
  <si>
    <t>W5.9</t>
  </si>
  <si>
    <t>W6.1</t>
  </si>
  <si>
    <t>W6.2</t>
  </si>
  <si>
    <t>W6.3</t>
  </si>
  <si>
    <t>W6.4</t>
  </si>
  <si>
    <t>LC1.1</t>
  </si>
  <si>
    <t>LC1.2</t>
  </si>
  <si>
    <t>LC1.3</t>
  </si>
  <si>
    <t>LC1.4</t>
  </si>
  <si>
    <t>LC1.5</t>
  </si>
  <si>
    <t>LC1.6</t>
  </si>
  <si>
    <t>LC1.7</t>
  </si>
  <si>
    <t>LC1.8</t>
  </si>
  <si>
    <t>LC1.9</t>
  </si>
  <si>
    <t>S1.1</t>
  </si>
  <si>
    <t>S1.2</t>
  </si>
  <si>
    <t>S1.3</t>
  </si>
  <si>
    <t>S1.4</t>
  </si>
  <si>
    <t>S2.1</t>
  </si>
  <si>
    <t>S2.2</t>
  </si>
  <si>
    <t>S3.1</t>
  </si>
  <si>
    <t>S3.2</t>
  </si>
  <si>
    <t>S3.3</t>
  </si>
  <si>
    <t>S3.4</t>
  </si>
  <si>
    <t>S3.5</t>
  </si>
  <si>
    <t>S4.1</t>
  </si>
  <si>
    <t>S4.2</t>
  </si>
  <si>
    <t>S4.3</t>
  </si>
  <si>
    <t>H1.1</t>
  </si>
  <si>
    <t>H1.2</t>
  </si>
  <si>
    <t>H1.3</t>
  </si>
  <si>
    <t>H1.4</t>
  </si>
  <si>
    <t>H2.1</t>
  </si>
  <si>
    <t>H2.2</t>
  </si>
  <si>
    <t>H2.3</t>
  </si>
  <si>
    <t>H2.4</t>
  </si>
  <si>
    <t>H2.5</t>
  </si>
  <si>
    <t>H2.6</t>
  </si>
  <si>
    <t>H2.7</t>
  </si>
  <si>
    <t>H3.1</t>
  </si>
  <si>
    <t>H3.2</t>
  </si>
  <si>
    <t>H3.3</t>
  </si>
  <si>
    <t>H3.4</t>
  </si>
  <si>
    <t>H3.5</t>
  </si>
  <si>
    <t>H3.6</t>
  </si>
  <si>
    <t>H3.7</t>
  </si>
  <si>
    <t>H3.8</t>
  </si>
  <si>
    <t>H3.9</t>
  </si>
  <si>
    <t>H4.1</t>
  </si>
  <si>
    <t>H4.2</t>
  </si>
  <si>
    <t>H5.1</t>
  </si>
  <si>
    <t>H6.1</t>
  </si>
  <si>
    <t>H6.2</t>
  </si>
  <si>
    <t>H6.3</t>
  </si>
  <si>
    <t>H6.4</t>
  </si>
  <si>
    <t>H6.5</t>
  </si>
  <si>
    <t>H6.6</t>
  </si>
  <si>
    <t>H6.7</t>
  </si>
  <si>
    <t>H6.8</t>
  </si>
  <si>
    <t>H6.9</t>
  </si>
  <si>
    <t>H6.10</t>
  </si>
  <si>
    <t>H6.11</t>
  </si>
  <si>
    <t>M1.1</t>
  </si>
  <si>
    <t>M1.2</t>
  </si>
  <si>
    <t>M1.3</t>
  </si>
  <si>
    <t>M1.4</t>
  </si>
  <si>
    <t>M1.5</t>
  </si>
  <si>
    <t>M1.6</t>
  </si>
  <si>
    <t>M1.7</t>
  </si>
  <si>
    <t>M1.8</t>
  </si>
  <si>
    <t>M1.9</t>
  </si>
  <si>
    <t>M1.10</t>
  </si>
  <si>
    <t>M1.11</t>
  </si>
  <si>
    <t>M1.12</t>
  </si>
  <si>
    <t>M2.1</t>
  </si>
  <si>
    <t>M2.2</t>
  </si>
  <si>
    <t>M2.3</t>
  </si>
  <si>
    <t>M2.4</t>
  </si>
  <si>
    <t>M2.5</t>
  </si>
  <si>
    <t>M2.6</t>
  </si>
  <si>
    <t>M2.7</t>
  </si>
  <si>
    <t>M2.8</t>
  </si>
  <si>
    <t>M2.9</t>
  </si>
  <si>
    <t>M2.10</t>
  </si>
  <si>
    <t>M2.11</t>
  </si>
  <si>
    <t>M2.12</t>
  </si>
  <si>
    <t>M3.1</t>
  </si>
  <si>
    <t>M3.2</t>
  </si>
  <si>
    <t>M3.3</t>
  </si>
  <si>
    <t>M3.4</t>
  </si>
  <si>
    <t>M3.5</t>
  </si>
  <si>
    <t>M3.7</t>
  </si>
  <si>
    <t>M3.8</t>
  </si>
  <si>
    <t>M3.9</t>
  </si>
  <si>
    <t>M3.10</t>
  </si>
  <si>
    <t>M3.11</t>
  </si>
  <si>
    <t>M3.12</t>
  </si>
  <si>
    <t>DM1.1</t>
  </si>
  <si>
    <t>DM1.2</t>
  </si>
  <si>
    <t>DM1.3</t>
  </si>
  <si>
    <t>DM1.4</t>
  </si>
  <si>
    <t>DM1.5</t>
  </si>
  <si>
    <t>DM1.6</t>
  </si>
  <si>
    <t>DM1.7</t>
  </si>
  <si>
    <t>DM1.8</t>
  </si>
  <si>
    <t>DM 5.1:  Chemical Soil Treatment Used</t>
  </si>
  <si>
    <t>DM 5.2:  Chemical Soil Treatment Avoided</t>
  </si>
  <si>
    <t>DM 5.3:  Treated wood products</t>
  </si>
  <si>
    <t>DM4</t>
  </si>
  <si>
    <t>DM2</t>
  </si>
  <si>
    <t>W7.1</t>
  </si>
  <si>
    <t>W7.2</t>
  </si>
  <si>
    <t xml:space="preserve">Pop-up sprinkler heads significantly rise above turf grass height </t>
  </si>
  <si>
    <t>CATEGORY 7:  Disaster Mitigation</t>
  </si>
  <si>
    <t>Termites (Must incorporate all items in either path to achieve these points)</t>
  </si>
  <si>
    <t>50%, 80%,100%, of plants/trees from local drought tolerant list</t>
  </si>
  <si>
    <t>away from basic community resources</t>
  </si>
  <si>
    <t xml:space="preserve">Protect ducts, range hood, and bath exhaust fans during construction </t>
  </si>
  <si>
    <t>Homeowner's manual, including information, benefits, operations - per reference guide</t>
  </si>
  <si>
    <t>Comply with Fortified For Safer Living Standards</t>
  </si>
  <si>
    <t>Garage floor &amp; driveway sloped to drain out. Garage floor at least 4" lower than living floor</t>
  </si>
  <si>
    <t>Please refer to Standards Documents and Green Home Reference Guide for additional information.</t>
  </si>
  <si>
    <r>
      <t>Meet or exceed Florida Water Star</t>
    </r>
    <r>
      <rPr>
        <sz val="11"/>
        <color indexed="10"/>
        <rFont val="Calibri"/>
        <family val="2"/>
      </rPr>
      <t>™ or WaterSense standards:</t>
    </r>
  </si>
  <si>
    <t>Required:  One item from each of the following 3 prerequisites MUST be incorporated in the home for FGBC Certification</t>
  </si>
  <si>
    <t>Certifying Agent Notes</t>
  </si>
  <si>
    <r>
      <t>Energy Star</t>
    </r>
    <r>
      <rPr>
        <sz val="11"/>
        <color indexed="8"/>
        <rFont val="Calibri"/>
        <family val="2"/>
      </rPr>
      <t>®</t>
    </r>
    <r>
      <rPr>
        <sz val="11"/>
        <color theme="1"/>
        <rFont val="Calibri"/>
        <family val="2"/>
        <scheme val="minor"/>
      </rPr>
      <t xml:space="preserve"> clothes washers</t>
    </r>
  </si>
  <si>
    <t>Design, Finishes, Amenities</t>
  </si>
  <si>
    <t>Points Achieved</t>
  </si>
  <si>
    <t>Points Possible</t>
  </si>
  <si>
    <t>CATEGORY 1:   ENERGY</t>
  </si>
  <si>
    <t>Resource efficient wall system with integral insulation</t>
  </si>
  <si>
    <t>Lightning &amp; Electronics Protection</t>
  </si>
  <si>
    <t>Installed Surge Suppression or Lightning Protection System</t>
  </si>
  <si>
    <r>
      <t xml:space="preserve">all lavatory sink faucets have flow rates of </t>
    </r>
    <r>
      <rPr>
        <sz val="11"/>
        <rFont val="Calibri"/>
        <family val="2"/>
      </rPr>
      <t>≤</t>
    </r>
    <r>
      <rPr>
        <sz val="11"/>
        <rFont val="Calibri"/>
        <family val="2"/>
      </rPr>
      <t xml:space="preserve"> 2.0 gpm (all ≤ 1.5 gpm = 2 pts)</t>
    </r>
  </si>
  <si>
    <t>High Efficiency Dual-flush or Single Flush Toilets ( all toilets ≤ 1.28 gpf)</t>
  </si>
  <si>
    <t>Minimum 1 hour Hands on training provided to homeowner</t>
  </si>
  <si>
    <r>
      <t>PREREQUISITES</t>
    </r>
    <r>
      <rPr>
        <sz val="14"/>
        <color indexed="17"/>
        <rFont val="Calibri"/>
        <family val="2"/>
      </rPr>
      <t>:</t>
    </r>
    <r>
      <rPr>
        <sz val="14"/>
        <rFont val="Calibri"/>
        <family val="2"/>
      </rPr>
      <t xml:space="preserve">  </t>
    </r>
  </si>
  <si>
    <t>At least one measure from each of the following:</t>
  </si>
  <si>
    <t>CATEGORY 2:   WATER</t>
  </si>
  <si>
    <t>W1  Fixtures</t>
  </si>
  <si>
    <t>W2  Greywater Reuse</t>
  </si>
  <si>
    <t>W3  Rainwater Harvesting</t>
  </si>
  <si>
    <t>W4  Reclaimed Water Reuse</t>
  </si>
  <si>
    <t>W5  Installed Landscape</t>
  </si>
  <si>
    <t>W6  Installed Irrigation</t>
  </si>
  <si>
    <t>W7  Additional Water Certification Requirements</t>
  </si>
  <si>
    <t>Landscape Auditor:</t>
  </si>
  <si>
    <t>Name of FGBC Green Development</t>
  </si>
  <si>
    <t>CATEGORY 3:   LOT CHOICE</t>
  </si>
  <si>
    <t>CATEGORY 4:   SITE</t>
  </si>
  <si>
    <t xml:space="preserve"> That all credits in this category deal only with buildable land. What this means is that if the land is not legally allowed  to be disturbed then you may not count this as part of the percentage required for the given credit. </t>
  </si>
  <si>
    <t>Detached garage/carport OR air barrier between living space &amp; garage AND no air handler or ducts in garage</t>
  </si>
  <si>
    <t>CATEGORY 5:  HEALTH</t>
  </si>
  <si>
    <t>&gt; 6</t>
  </si>
  <si>
    <t>homes with minimum of 1 story wood frame exterior walls have 80% of all lumber certified</t>
  </si>
  <si>
    <t>minimum 80% of all new windows &amp; doors are from local manufacturers &amp; are operable</t>
  </si>
  <si>
    <t>80% of all structural components are from local sources - includes panelized &amp; modular systems</t>
  </si>
  <si>
    <t>List items (i.e.: a, b, c, etc.)</t>
  </si>
  <si>
    <t>CATEGORY 6:  MATERIALS</t>
  </si>
  <si>
    <t>DM 5.1</t>
  </si>
  <si>
    <t>DM 5.2</t>
  </si>
  <si>
    <t>DM 5.3</t>
  </si>
  <si>
    <t>Condensate line(s) discharge a min of 2' from home &amp; are located 5' or more from dryer vent</t>
  </si>
  <si>
    <t>CATEGORY 7:  DISASTER MITIGATION</t>
  </si>
  <si>
    <t>G1.1</t>
  </si>
  <si>
    <t>CATEGORY 8:  GENERAL</t>
  </si>
  <si>
    <t>G2.1</t>
  </si>
  <si>
    <t>G2.2</t>
  </si>
  <si>
    <t>G2.3</t>
  </si>
  <si>
    <t>G3.1</t>
  </si>
  <si>
    <t>G4.1</t>
  </si>
  <si>
    <t>G4.2</t>
  </si>
  <si>
    <t>G4.3</t>
  </si>
  <si>
    <t>G4.4</t>
  </si>
  <si>
    <t>G5.1</t>
  </si>
  <si>
    <t>G5.2</t>
  </si>
  <si>
    <t>G5.3</t>
  </si>
  <si>
    <t>G5.4</t>
  </si>
  <si>
    <t>G5.5</t>
  </si>
  <si>
    <t>G5.6</t>
  </si>
  <si>
    <r>
      <t xml:space="preserve">Flood </t>
    </r>
    <r>
      <rPr>
        <sz val="12"/>
        <color indexed="18"/>
        <rFont val="Calibri"/>
        <family val="2"/>
      </rPr>
      <t>(must incorporate all three)</t>
    </r>
  </si>
  <si>
    <r>
      <t>Termites</t>
    </r>
    <r>
      <rPr>
        <b/>
        <sz val="10"/>
        <color indexed="18"/>
        <rFont val="Calibri"/>
        <family val="2"/>
      </rPr>
      <t xml:space="preserve"> </t>
    </r>
    <r>
      <rPr>
        <sz val="10"/>
        <color indexed="18"/>
        <rFont val="Calibri"/>
        <family val="2"/>
      </rPr>
      <t>(must comply w/required credits listed below AND EITHER DM 4.1 OR DM 4.2 OR DM 4.3 to receive points)</t>
    </r>
  </si>
  <si>
    <t>Don't Understand</t>
  </si>
  <si>
    <t/>
  </si>
  <si>
    <t>Unfinished rooms 1point for &gt;100 SF, 2 points for &gt; 200 SF</t>
  </si>
  <si>
    <t>P1.5</t>
  </si>
  <si>
    <t>Home has no pool or spa</t>
  </si>
  <si>
    <t>Enter size of PV System in kW (1 point for each 2kW)</t>
  </si>
  <si>
    <t>Required Signatures:  All parties signing this application acknowledge that each of the measures intended to qualify the home for the Florida Green Home Certification has been incorporated into construction/renovation of the home.</t>
  </si>
  <si>
    <r>
      <t xml:space="preserve">Pre-Engineered roof and floor </t>
    </r>
    <r>
      <rPr>
        <sz val="11"/>
        <rFont val="Calibri"/>
        <family val="2"/>
      </rPr>
      <t>components</t>
    </r>
  </si>
  <si>
    <t>energy</t>
  </si>
  <si>
    <t>water</t>
  </si>
  <si>
    <t>lot choice</t>
  </si>
  <si>
    <t>site</t>
  </si>
  <si>
    <t>health</t>
  </si>
  <si>
    <t>materials</t>
  </si>
  <si>
    <t>disaster mitigation</t>
  </si>
  <si>
    <t>general</t>
  </si>
  <si>
    <t>This Home</t>
  </si>
  <si>
    <t xml:space="preserve">  5 - 30</t>
  </si>
  <si>
    <t xml:space="preserve">  0 - 40</t>
  </si>
  <si>
    <t xml:space="preserve">  0 - 15</t>
  </si>
  <si>
    <t>Site within 1/4 mile or 1/2 mile of existing basic community resources</t>
  </si>
  <si>
    <t>Expiration Date:</t>
  </si>
  <si>
    <t>FGBC Certified Home Bronze  Plaque</t>
  </si>
  <si>
    <t>E2.24</t>
  </si>
  <si>
    <r>
      <rPr>
        <b/>
        <sz val="10"/>
        <color indexed="17"/>
        <rFont val="Calibri"/>
        <family val="2"/>
      </rPr>
      <t>Erosion Control / Top</t>
    </r>
    <r>
      <rPr>
        <b/>
        <sz val="10"/>
        <color indexed="17"/>
        <rFont val="Calibri"/>
        <family val="2"/>
      </rPr>
      <t>soil Preservation</t>
    </r>
  </si>
  <si>
    <t>Installed Irrigation</t>
  </si>
  <si>
    <t>Additional Water Certification Requirements</t>
  </si>
  <si>
    <t>Native Tree and Plant Preservation</t>
  </si>
  <si>
    <t>Home Address</t>
  </si>
  <si>
    <t>Flood</t>
  </si>
  <si>
    <t>Fire</t>
  </si>
  <si>
    <t>Termites</t>
  </si>
  <si>
    <t>Pre-Application &amp; Request for Yard Sign</t>
  </si>
  <si>
    <t>City/ST</t>
  </si>
  <si>
    <t>Zip Code</t>
  </si>
  <si>
    <t>Amount Due:</t>
  </si>
  <si>
    <t>(Will be Applied to Final Application Fee)</t>
  </si>
  <si>
    <t>Payment Information</t>
  </si>
  <si>
    <t>Send To:</t>
  </si>
  <si>
    <t>(Use this form to order an "Application Pending Yard Sign for site use during construction)</t>
  </si>
  <si>
    <t xml:space="preserve">Credit Card Payment:    </t>
  </si>
  <si>
    <t>Visa</t>
  </si>
  <si>
    <t>Mcard</t>
  </si>
  <si>
    <t>Amex</t>
  </si>
  <si>
    <t>Discover</t>
  </si>
  <si>
    <t xml:space="preserve">Card Number: </t>
  </si>
  <si>
    <t xml:space="preserve">Expiration Date: </t>
  </si>
  <si>
    <t xml:space="preserve">Billing Zip Code </t>
  </si>
  <si>
    <t xml:space="preserve">Name on Card: </t>
  </si>
  <si>
    <t xml:space="preserve">Cardholder Signature: </t>
  </si>
  <si>
    <t xml:space="preserve">Builder or Homeowner Must Be Member </t>
  </si>
  <si>
    <t>FGBC #</t>
  </si>
  <si>
    <t>FHBA #:</t>
  </si>
  <si>
    <t>FOR MULTI-FAMILY PROJECTS</t>
  </si>
  <si>
    <t>FEES</t>
  </si>
  <si>
    <t>Fee</t>
  </si>
  <si>
    <t xml:space="preserve">      Make check payable to "FGBC" based on fee schedule OR submit credit card payment information</t>
  </si>
  <si>
    <t>Single Family New and Existing Home Fees</t>
  </si>
  <si>
    <t>Multi-Family Fees</t>
  </si>
  <si>
    <t>Members</t>
  </si>
  <si>
    <t>$100 application fee + $100 per building + $25 per unit</t>
  </si>
  <si>
    <t xml:space="preserve">$100 application fee + $100 per building + $35 per unit </t>
  </si>
  <si>
    <t>Additional Options</t>
  </si>
  <si>
    <t xml:space="preserve">Pre-Application (next tab) use to receive your "application pending" yard sign, fee is deducted from your final application cost </t>
  </si>
  <si>
    <t>Owner:</t>
  </si>
  <si>
    <t>Development:</t>
  </si>
  <si>
    <t>Is this Single Family or Multi-Family?</t>
  </si>
  <si>
    <t>Is the home New or Existing?</t>
  </si>
  <si>
    <t>Single</t>
  </si>
  <si>
    <t>Multi</t>
  </si>
  <si>
    <t>Existing Home Application</t>
  </si>
  <si>
    <t>G4.5</t>
  </si>
  <si>
    <t>Roof to wall connection upgrades</t>
  </si>
  <si>
    <t>E2.28</t>
  </si>
  <si>
    <t>Install motion sensors on a minimum of 60% of the hard wired lighting fixtures</t>
  </si>
  <si>
    <t>Interior Fireplace - Direct vent, sealed combustion w/electronic ignition, factory built wood burning or no fireplace</t>
  </si>
  <si>
    <t>Signature</t>
  </si>
  <si>
    <t>The Total Need number will automatically adjust as points are earned for each criteria in the checklist.</t>
  </si>
  <si>
    <t>Total Amount Authorized</t>
  </si>
  <si>
    <t>Home Fees</t>
  </si>
  <si>
    <t>PAYMENT</t>
  </si>
  <si>
    <t>Free</t>
  </si>
  <si>
    <t>Bronze Plaques</t>
  </si>
  <si>
    <t>FGBC Certified Home Yard Sign (Electronic Version)</t>
  </si>
  <si>
    <t>Do You Want A Yard Sign? (Free)</t>
  </si>
  <si>
    <r>
      <t xml:space="preserve">     </t>
    </r>
    <r>
      <rPr>
        <sz val="11"/>
        <rFont val="Wingdings"/>
        <charset val="2"/>
      </rPr>
      <t></t>
    </r>
    <r>
      <rPr>
        <sz val="11"/>
        <rFont val="Arial"/>
        <family val="2"/>
      </rPr>
      <t xml:space="preserve"> Mail fees, application, and electronic version of checklist with supporting documents on  CD to:</t>
    </r>
  </si>
  <si>
    <t>Sales Price</t>
  </si>
  <si>
    <t xml:space="preserve">FGBC Green Home Standard </t>
  </si>
  <si>
    <r>
      <t xml:space="preserve">     </t>
    </r>
    <r>
      <rPr>
        <sz val="11"/>
        <rFont val="Wingdings"/>
        <charset val="2"/>
      </rPr>
      <t></t>
    </r>
    <r>
      <rPr>
        <sz val="11"/>
        <rFont val="Arial"/>
        <family val="2"/>
      </rPr>
      <t xml:space="preserve"> Complete the credit card authorization below or pay online</t>
    </r>
  </si>
  <si>
    <r>
      <t xml:space="preserve">Roof slope </t>
    </r>
    <r>
      <rPr>
        <sz val="11"/>
        <color theme="1"/>
        <rFont val="Calibri"/>
        <family val="2"/>
      </rPr>
      <t>≥</t>
    </r>
    <r>
      <rPr>
        <sz val="11"/>
        <color theme="1"/>
        <rFont val="Calibri"/>
        <family val="2"/>
        <scheme val="minor"/>
      </rPr>
      <t xml:space="preserve"> 3 in 12 but  ≤  6 in 12</t>
    </r>
  </si>
  <si>
    <r>
      <t xml:space="preserve">Remodeling structure (HERS Index </t>
    </r>
    <r>
      <rPr>
        <sz val="11"/>
        <color rgb="FFFF0000"/>
        <rFont val="Symbol"/>
        <family val="1"/>
        <charset val="2"/>
      </rPr>
      <t xml:space="preserve">£ </t>
    </r>
    <r>
      <rPr>
        <sz val="11"/>
        <color rgb="FFFF0000"/>
        <rFont val="Calibri"/>
        <family val="2"/>
        <scheme val="minor"/>
      </rPr>
      <t>80)</t>
    </r>
  </si>
  <si>
    <t>No turf adjacent to natural water bodies(Low maintain plants instead)</t>
  </si>
  <si>
    <t>Thermal Bypass Inspection</t>
  </si>
  <si>
    <t>DM3.1</t>
  </si>
  <si>
    <t>DM3.2</t>
  </si>
  <si>
    <t>Fire Sprinklers installed to cover 100% of living area of home</t>
  </si>
  <si>
    <t xml:space="preserve">Enter the Solar Reflecive Index (SRI) of Paint </t>
  </si>
  <si>
    <t xml:space="preserve">Enter the Light Reflectance Value (LRV) of Paint </t>
  </si>
  <si>
    <t>Ceiling Penetrations:  No pentrations in ceiling (2 points), No penetrations in the themal envelope (1 point)</t>
  </si>
  <si>
    <t xml:space="preserve"> 1 - 3</t>
  </si>
  <si>
    <t>Rainwater Havesting System installed</t>
  </si>
  <si>
    <t>2 - 6</t>
  </si>
  <si>
    <t xml:space="preserve"> 2 - 4</t>
  </si>
  <si>
    <t>T-wall with drywall clips and/or ladder type exterior tee framing</t>
  </si>
  <si>
    <r>
      <t>Confirmed Florida HERS Rating - 3 points for each HERS Index point bel</t>
    </r>
    <r>
      <rPr>
        <sz val="11"/>
        <color indexed="10"/>
        <rFont val="Calibri"/>
        <family val="2"/>
      </rPr>
      <t>ow 80</t>
    </r>
  </si>
  <si>
    <t xml:space="preserve">home has no exterior wood walls &amp; 80% of remaining lumber used for the home is certified. </t>
  </si>
  <si>
    <t>DM5.4</t>
  </si>
  <si>
    <t>80% of Cellulose insulation used is Borate treated</t>
  </si>
  <si>
    <t xml:space="preserve">Manual D duct design </t>
  </si>
  <si>
    <r>
      <t xml:space="preserve">Rain gutters installed (downspouts discharge a minimum of 3' from home) </t>
    </r>
    <r>
      <rPr>
        <b/>
        <sz val="11"/>
        <color theme="1"/>
        <rFont val="Calibri"/>
        <family val="2"/>
        <scheme val="minor"/>
      </rPr>
      <t>OR</t>
    </r>
    <r>
      <rPr>
        <sz val="11"/>
        <rFont val="Calibri"/>
        <family val="2"/>
      </rPr>
      <t xml:space="preserve"> meet large overhangs (≥</t>
    </r>
    <r>
      <rPr>
        <sz val="11"/>
        <color theme="1"/>
        <rFont val="Calibri"/>
        <family val="2"/>
        <scheme val="minor"/>
      </rPr>
      <t>2')</t>
    </r>
  </si>
  <si>
    <t>Rain gutters installed (downspouts discharge a minimum of 3' from home) OR meet large overhangs (≥2')</t>
  </si>
  <si>
    <t>Low-flow shower heads (must be  ≤  2.0 gpm)</t>
  </si>
  <si>
    <t>Over 50% of each interior wall adheres to a 2' layout</t>
  </si>
  <si>
    <t xml:space="preserve"> 1 - 3 </t>
  </si>
  <si>
    <t>Florida Friendly LandscapeTM Program New Construction Certification</t>
  </si>
  <si>
    <r>
      <t xml:space="preserve">Fire </t>
    </r>
    <r>
      <rPr>
        <sz val="12"/>
        <color indexed="18"/>
        <rFont val="Calibri"/>
        <family val="2"/>
      </rPr>
      <t>(must incorporate all three for 3.1)</t>
    </r>
  </si>
  <si>
    <r>
      <t xml:space="preserve">All lavatory sink faucets have flow rates of </t>
    </r>
    <r>
      <rPr>
        <sz val="11"/>
        <rFont val="Calibri"/>
        <family val="2"/>
      </rPr>
      <t>≤ 1.5 gpm (all ≤ 1.0 gpm = 2 pts)</t>
    </r>
  </si>
  <si>
    <t>Roofed porch, Min 100ft^2 AND meets cross-ventilation requirements</t>
  </si>
  <si>
    <t>Plants/turf minimum of 2-ft. from foundation</t>
  </si>
  <si>
    <t>Each interior wall adheres to 2-foot dimensions for minimum of 50% of the interior walls</t>
  </si>
  <si>
    <t>DBPR License #:</t>
  </si>
  <si>
    <t>M3.6</t>
  </si>
  <si>
    <t>yes</t>
  </si>
  <si>
    <t>Total Possible Points</t>
  </si>
  <si>
    <t xml:space="preserve">Total Possible Points </t>
  </si>
  <si>
    <t>Please answer the following questions:</t>
  </si>
  <si>
    <t xml:space="preserve">Enter the Solar Reflective Index (SRI) of Paint </t>
  </si>
  <si>
    <t>Rainwater Harvesting System installed</t>
  </si>
  <si>
    <r>
      <t>Florida Friendly Landscape</t>
    </r>
    <r>
      <rPr>
        <vertAlign val="superscript"/>
        <sz val="11"/>
        <color rgb="FFFF0000"/>
        <rFont val="Calibri"/>
        <family val="2"/>
        <scheme val="minor"/>
      </rPr>
      <t>TM</t>
    </r>
    <r>
      <rPr>
        <sz val="11"/>
        <color rgb="FFFF0000"/>
        <rFont val="Calibri"/>
        <family val="2"/>
        <scheme val="minor"/>
      </rPr>
      <t xml:space="preserve"> Program New Construction Certification</t>
    </r>
  </si>
  <si>
    <r>
      <t>Energy Star</t>
    </r>
    <r>
      <rPr>
        <vertAlign val="superscript"/>
        <sz val="11"/>
        <color indexed="8"/>
        <rFont val="Calibri"/>
        <family val="2"/>
      </rPr>
      <t>®</t>
    </r>
    <r>
      <rPr>
        <sz val="11"/>
        <color theme="1"/>
        <rFont val="Calibri"/>
        <family val="2"/>
        <scheme val="minor"/>
      </rPr>
      <t xml:space="preserve"> bath fans with timer or humidistat</t>
    </r>
  </si>
  <si>
    <t>Roof slope ≥ 3:12 but  ≤  6:12</t>
  </si>
  <si>
    <t>Vegetation &gt; 2 ft. from foundation (Materials: M3.6)</t>
  </si>
  <si>
    <t>Seal slab penetrations (Health: H2.4)</t>
  </si>
  <si>
    <t>Sprinklers &amp; emitters are 2 feet from house (Materials: M3.7) OR no installed irrigation (Water: W6.1)</t>
  </si>
  <si>
    <t>Florida Water Star Certification</t>
  </si>
  <si>
    <t>Square Footage of home/unit</t>
  </si>
  <si>
    <t>Is this home Affordable? List Funding Source</t>
  </si>
  <si>
    <t xml:space="preserve">https://dropbox.hightail.com/certifications </t>
  </si>
  <si>
    <t>W1  Fixtures and Appliances</t>
  </si>
  <si>
    <t>E2.29</t>
  </si>
  <si>
    <t>Energy Efficient Sheathing</t>
  </si>
  <si>
    <t>W6.5</t>
  </si>
  <si>
    <t>High volume irrigated areas have matched precipitation rates</t>
  </si>
  <si>
    <t>W6.6</t>
  </si>
  <si>
    <t>W6.7</t>
  </si>
  <si>
    <t>Pop-up sprinkler heads significantly rise above turf grass height</t>
  </si>
  <si>
    <t>H2.8</t>
  </si>
  <si>
    <t>0 - 25</t>
  </si>
  <si>
    <t>All showers equipped with only 1 showerhead per shower (1 showerhead/15sf allowed)</t>
  </si>
  <si>
    <t>Toilet with UNAR Map Rating of 600 gpf or greater</t>
  </si>
  <si>
    <t>Greywater System Installed</t>
  </si>
  <si>
    <t>Moisture control for tub/shower and shower surrounds</t>
  </si>
  <si>
    <t>Remodeling structure (HERS Index &lt; 80)</t>
  </si>
  <si>
    <t>3</t>
  </si>
  <si>
    <t xml:space="preserve">Existing homes with pools - Upgrade pump to variable speed or dual speed </t>
  </si>
  <si>
    <t>Improve roof to wall connections</t>
  </si>
  <si>
    <t>none</t>
  </si>
  <si>
    <t>All plants/trees selected to be compatible with their location in the landscape</t>
  </si>
  <si>
    <t>No turf in densly shaded areas</t>
  </si>
  <si>
    <t>Plants with similar sun and water requirements grouped together</t>
  </si>
  <si>
    <t>Mulch applied 3 - 4 inches deep around plants (no volcano mulch)</t>
  </si>
  <si>
    <t>No permanent in-ground irrigation system</t>
  </si>
  <si>
    <t>Landscape irrigated to FGBC standard</t>
  </si>
  <si>
    <r>
      <rPr>
        <sz val="11"/>
        <rFont val="Calibri"/>
        <family val="2"/>
      </rPr>
      <t>Micro-irrigation only in landscape beds and narrow areas</t>
    </r>
  </si>
  <si>
    <t>Non-cypress mulch used</t>
  </si>
  <si>
    <r>
      <t>Florida Friendly Landscape</t>
    </r>
    <r>
      <rPr>
        <vertAlign val="superscript"/>
        <sz val="11"/>
        <color indexed="10"/>
        <rFont val="Calibri"/>
        <family val="2"/>
      </rPr>
      <t>TM</t>
    </r>
    <r>
      <rPr>
        <sz val="11"/>
        <color indexed="10"/>
        <rFont val="Calibri"/>
        <family val="2"/>
      </rPr>
      <t xml:space="preserve"> Program new construction certification</t>
    </r>
  </si>
  <si>
    <r>
      <t>Meet or exceed Florida Water Star</t>
    </r>
    <r>
      <rPr>
        <vertAlign val="superscript"/>
        <sz val="11"/>
        <color indexed="10"/>
        <rFont val="Calibri"/>
        <family val="2"/>
      </rPr>
      <t>SM</t>
    </r>
    <r>
      <rPr>
        <sz val="11"/>
        <color indexed="10"/>
        <rFont val="Calibri"/>
        <family val="2"/>
      </rPr>
      <t xml:space="preserve"> or WaterSense standards</t>
    </r>
  </si>
  <si>
    <t>60%, 80%,100%, of plants/trees from drought-tolerant list</t>
  </si>
  <si>
    <t>Pay Online</t>
  </si>
  <si>
    <t xml:space="preserve"> or Authorize Credit Card Here: (Visa/MC/AX)</t>
  </si>
  <si>
    <t>Optional Information</t>
  </si>
  <si>
    <t>FGBC Certified Home Bronze Plaque</t>
  </si>
  <si>
    <t>Multi-family applications: Use TAB 18</t>
  </si>
  <si>
    <t>Certified Home Score</t>
  </si>
  <si>
    <t>$100 applicaion fee + $100 per building + $25 per unit</t>
  </si>
  <si>
    <t>$100 application fee + $100 per building + $35 per unit</t>
  </si>
  <si>
    <t>Number of Buildings</t>
  </si>
  <si>
    <t>Number of Units</t>
  </si>
  <si>
    <t>MEMBER Fee</t>
  </si>
  <si>
    <t>NON MEMBER Fee</t>
  </si>
  <si>
    <t>Enter your project information below:</t>
  </si>
  <si>
    <t>Multi-Family Home Application</t>
  </si>
  <si>
    <t xml:space="preserve">2.  Checklists and supporting documentation must be submitted by an Active FGBC Certifying Agent (CA). </t>
  </si>
  <si>
    <t>Please read the "Standard &amp; Policies" document for complete compliance requirements and operating principles.</t>
  </si>
  <si>
    <r>
      <rPr>
        <sz val="11"/>
        <rFont val="Arial"/>
        <family val="2"/>
      </rPr>
      <t xml:space="preserve">Existing homes are exempt from the three prerequisites and the category minimums that are required for new construction.  Please refer to the "Standards &amp; Policies" document Section 2 for the Standards definition of an existing home.  </t>
    </r>
    <r>
      <rPr>
        <u/>
        <sz val="11"/>
        <rFont val="Arial"/>
        <family val="2"/>
      </rPr>
      <t>Use Tabs 15 (Existing Home Application)</t>
    </r>
    <r>
      <rPr>
        <sz val="11"/>
        <rFont val="Arial"/>
        <family val="2"/>
      </rPr>
      <t xml:space="preserve">.  Homes meeting the following requirements will receive a </t>
    </r>
    <r>
      <rPr>
        <b/>
        <sz val="11"/>
        <rFont val="Arial"/>
        <family val="2"/>
      </rPr>
      <t>Green Remodel Designation</t>
    </r>
    <r>
      <rPr>
        <sz val="11"/>
        <rFont val="Arial"/>
        <family val="2"/>
      </rPr>
      <t xml:space="preserve">. 
          -  Existing homes must accumulate a total of 100 points to achieve certification
          -  Each existing home/remodel MUST achieve the required 13 REMODEL points (found in the General category)
          -  The remaining 87 points required for certification may be earned using any combination of credits.  
          -  Category maximums can not be exceeded at any time.  
          -  The minimum HERS Index to qualify for the FGBC Green Remodel Designation is 80. </t>
    </r>
    <r>
      <rPr>
        <sz val="11"/>
        <color indexed="30"/>
        <rFont val="Arial"/>
        <family val="2"/>
      </rPr>
      <t xml:space="preserve"> 
</t>
    </r>
    <r>
      <rPr>
        <sz val="11"/>
        <color indexed="10"/>
        <rFont val="Arial"/>
        <family val="2"/>
      </rPr>
      <t>Some items require submittals that are colored red.</t>
    </r>
    <r>
      <rPr>
        <sz val="11"/>
        <color indexed="30"/>
        <rFont val="Arial"/>
        <family val="2"/>
      </rPr>
      <t xml:space="preserve"> </t>
    </r>
    <r>
      <rPr>
        <sz val="11"/>
        <rFont val="Arial"/>
        <family val="2"/>
      </rPr>
      <t>Suggested submittals for other items are colored in black.</t>
    </r>
  </si>
  <si>
    <r>
      <rPr>
        <b/>
        <sz val="10"/>
        <rFont val="Arial"/>
        <family val="2"/>
      </rPr>
      <t xml:space="preserve">* </t>
    </r>
    <r>
      <rPr>
        <sz val="10"/>
        <rFont val="Arial"/>
        <family val="2"/>
      </rPr>
      <t>If any category minimums cannot be achieved, point deficiencies may be added to the total minimum required score of 100, creating an "adjusted project minimum required points" (the points YOUR project must achieve for certification). (</t>
    </r>
    <r>
      <rPr>
        <sz val="10"/>
        <color indexed="8"/>
        <rFont val="Arial"/>
        <family val="2"/>
      </rPr>
      <t xml:space="preserve">Example: Applicant elects to achieve only 10 points from a category with a minimum of 15. Project may still qualify if: total points equal or exceed 100 + [15-10] = 105.)  </t>
    </r>
    <r>
      <rPr>
        <b/>
        <sz val="10"/>
        <color indexed="8"/>
        <rFont val="Arial"/>
        <family val="2"/>
      </rPr>
      <t xml:space="preserve">Note that category maximums cannot be exceeded at any time. </t>
    </r>
    <r>
      <rPr>
        <sz val="10"/>
        <color indexed="10"/>
        <rFont val="Arial"/>
        <family val="2"/>
      </rPr>
      <t>Some items require submittals that are colored red.</t>
    </r>
    <r>
      <rPr>
        <sz val="10"/>
        <color indexed="8"/>
        <rFont val="Arial"/>
        <family val="2"/>
      </rPr>
      <t xml:space="preserve"> Suggested submittals for other items are colored black.</t>
    </r>
  </si>
  <si>
    <r>
      <t xml:space="preserve">1.  The FGBC Home Standard Version in effect when the home is permitted is the checklist that must be used to certify the home.  However, you may opt to use a newer version if available and applicable. </t>
    </r>
    <r>
      <rPr>
        <sz val="11"/>
        <color rgb="FFFF0000"/>
        <rFont val="Arial"/>
        <family val="2"/>
      </rPr>
      <t xml:space="preserve"> Any application submitted using a previous version of the standard must provide a copy of the building permit.</t>
    </r>
  </si>
  <si>
    <t xml:space="preserve">4.  Duing the review process, the project evaluator may request additional information and/or copies of "suggested submittals" indicated in the Reference Guide to verify that the project has achieved the credit point.  </t>
  </si>
  <si>
    <t xml:space="preserve">      Mail fees and a printed copy of the completed application with an electronic version of the Checklist and supporting documents to:</t>
  </si>
  <si>
    <t>Instructions</t>
  </si>
  <si>
    <t>Application</t>
  </si>
  <si>
    <r>
      <t xml:space="preserve">   Electronic Submissions</t>
    </r>
    <r>
      <rPr>
        <b/>
        <sz val="11"/>
        <color rgb="FFFF0000"/>
        <rFont val="Arial"/>
        <family val="2"/>
      </rPr>
      <t xml:space="preserve"> (Required)</t>
    </r>
  </si>
  <si>
    <t>Complete the credit card authorization below or pay online</t>
  </si>
  <si>
    <t xml:space="preserve"> 1-2</t>
  </si>
  <si>
    <t>All lavatory sink faucets have flow rates of ≤ 1.5 gpm (all ≤ 1.0 gpm = 2 pts)</t>
  </si>
  <si>
    <t>LC1.08</t>
  </si>
  <si>
    <t>LC1.09</t>
  </si>
  <si>
    <t>P1.01</t>
  </si>
  <si>
    <t>S1.01</t>
  </si>
  <si>
    <t>S1.02</t>
  </si>
  <si>
    <t>S1.03</t>
  </si>
  <si>
    <t>Email: info@floridagreenbuilding.org</t>
  </si>
  <si>
    <t>Fax: 407-777-4915</t>
  </si>
  <si>
    <t>PH: 407-777-4914</t>
  </si>
  <si>
    <t>25 E. Central Blvd.</t>
  </si>
  <si>
    <t>Florida Green Building Coalition (FGBC)</t>
  </si>
  <si>
    <t>Sanitation System that Reduces Chlorine Use</t>
  </si>
  <si>
    <t>P1.02</t>
  </si>
  <si>
    <t>P1.03</t>
  </si>
  <si>
    <t>P1.04</t>
  </si>
  <si>
    <t>P1.05</t>
  </si>
  <si>
    <t>P2.01</t>
  </si>
  <si>
    <t>P2.02</t>
  </si>
  <si>
    <t>P2.03</t>
  </si>
  <si>
    <t>P2.04</t>
  </si>
  <si>
    <t>P3.01</t>
  </si>
  <si>
    <t>E1.01</t>
  </si>
  <si>
    <t xml:space="preserve"> You must do one prerequisie from P1.01-P1.05</t>
  </si>
  <si>
    <t>And comply with P3.01</t>
  </si>
  <si>
    <t>E2.09</t>
  </si>
  <si>
    <t>E2.01</t>
  </si>
  <si>
    <t>E2.02</t>
  </si>
  <si>
    <t>E2.03</t>
  </si>
  <si>
    <t>E2.04</t>
  </si>
  <si>
    <t>E2.05</t>
  </si>
  <si>
    <t>E2.06</t>
  </si>
  <si>
    <t>E2.07</t>
  </si>
  <si>
    <t>E2.08</t>
  </si>
  <si>
    <t>W1.01</t>
  </si>
  <si>
    <t>W1.02</t>
  </si>
  <si>
    <t>W1.03</t>
  </si>
  <si>
    <t>W1.04</t>
  </si>
  <si>
    <t>W1.05</t>
  </si>
  <si>
    <t>W1.06</t>
  </si>
  <si>
    <t>W2.01</t>
  </si>
  <si>
    <t>W3.01</t>
  </si>
  <si>
    <t>W4.01</t>
  </si>
  <si>
    <t>W4.02</t>
  </si>
  <si>
    <t>W4.03</t>
  </si>
  <si>
    <t>W4.04</t>
  </si>
  <si>
    <t>W5.01</t>
  </si>
  <si>
    <t>W5.02</t>
  </si>
  <si>
    <t>W5.03</t>
  </si>
  <si>
    <t>W5.04</t>
  </si>
  <si>
    <t>W5.05</t>
  </si>
  <si>
    <t>W5.06</t>
  </si>
  <si>
    <t>W5.07</t>
  </si>
  <si>
    <t>W5.08</t>
  </si>
  <si>
    <t>W5.09</t>
  </si>
  <si>
    <t>W6.01</t>
  </si>
  <si>
    <t>W6.02</t>
  </si>
  <si>
    <t>W6.04</t>
  </si>
  <si>
    <t>W6.05</t>
  </si>
  <si>
    <t>W6.06</t>
  </si>
  <si>
    <t>W6.07</t>
  </si>
  <si>
    <t>W7.01</t>
  </si>
  <si>
    <t>W7.02</t>
  </si>
  <si>
    <t>LC1.01</t>
  </si>
  <si>
    <t>LC1.02</t>
  </si>
  <si>
    <t>LC1.03</t>
  </si>
  <si>
    <t>LC1.04</t>
  </si>
  <si>
    <t>LC1.05</t>
  </si>
  <si>
    <t>LC1.06</t>
  </si>
  <si>
    <t>LC1.07</t>
  </si>
  <si>
    <t>S1.04</t>
  </si>
  <si>
    <t>S2.01</t>
  </si>
  <si>
    <t>S2.02</t>
  </si>
  <si>
    <t>S3.01</t>
  </si>
  <si>
    <t>S3.02</t>
  </si>
  <si>
    <t>S3.03</t>
  </si>
  <si>
    <t>S3.04</t>
  </si>
  <si>
    <t>S3.05</t>
  </si>
  <si>
    <t>S4.01</t>
  </si>
  <si>
    <t>S4.02</t>
  </si>
  <si>
    <t>S4.03</t>
  </si>
  <si>
    <t>H6.09</t>
  </si>
  <si>
    <t>H6.01</t>
  </si>
  <si>
    <t>H6.02</t>
  </si>
  <si>
    <t>H6.03</t>
  </si>
  <si>
    <t>H6.04</t>
  </si>
  <si>
    <t>H6.05</t>
  </si>
  <si>
    <t>H6.06</t>
  </si>
  <si>
    <t>H6.07</t>
  </si>
  <si>
    <t>H6.08</t>
  </si>
  <si>
    <t>H5.01</t>
  </si>
  <si>
    <t>H2.01</t>
  </si>
  <si>
    <t>H2.02</t>
  </si>
  <si>
    <t>H2.03</t>
  </si>
  <si>
    <t>H2.04</t>
  </si>
  <si>
    <t>H2.05</t>
  </si>
  <si>
    <t>H2.06</t>
  </si>
  <si>
    <t>H2.07</t>
  </si>
  <si>
    <t>H2.08</t>
  </si>
  <si>
    <t>H3.01</t>
  </si>
  <si>
    <t>H3.02</t>
  </si>
  <si>
    <t>H3.03</t>
  </si>
  <si>
    <t>H3.04</t>
  </si>
  <si>
    <t>H3.05</t>
  </si>
  <si>
    <t>H3.06</t>
  </si>
  <si>
    <t>H3.07</t>
  </si>
  <si>
    <t>H3.08</t>
  </si>
  <si>
    <t>H1.01</t>
  </si>
  <si>
    <t>H1.02</t>
  </si>
  <si>
    <t>H1.03</t>
  </si>
  <si>
    <t>H1.04</t>
  </si>
  <si>
    <t>H4.01</t>
  </si>
  <si>
    <t>H4.02</t>
  </si>
  <si>
    <t>M3.01</t>
  </si>
  <si>
    <t>M3.02</t>
  </si>
  <si>
    <t>M3.03</t>
  </si>
  <si>
    <t>M3.04</t>
  </si>
  <si>
    <t>M3.05</t>
  </si>
  <si>
    <t>M3.06</t>
  </si>
  <si>
    <t>M3.07</t>
  </si>
  <si>
    <t>M3.08</t>
  </si>
  <si>
    <t>M3.09</t>
  </si>
  <si>
    <t>M2.04</t>
  </si>
  <si>
    <t>M2.05</t>
  </si>
  <si>
    <t>M2.06</t>
  </si>
  <si>
    <t>M2.07</t>
  </si>
  <si>
    <t>M2.08</t>
  </si>
  <si>
    <t>M2.09</t>
  </si>
  <si>
    <t>M2.01</t>
  </si>
  <si>
    <t>M2.02</t>
  </si>
  <si>
    <t>M2.03</t>
  </si>
  <si>
    <t>M1.03</t>
  </si>
  <si>
    <t>M1.04</t>
  </si>
  <si>
    <t>M1.05</t>
  </si>
  <si>
    <t>M1.06</t>
  </si>
  <si>
    <t>M1.07</t>
  </si>
  <si>
    <t>M1.08</t>
  </si>
  <si>
    <t>M1.09</t>
  </si>
  <si>
    <t>M1.01</t>
  </si>
  <si>
    <t>M1.02</t>
  </si>
  <si>
    <t>DM1.01</t>
  </si>
  <si>
    <t>DM1.02</t>
  </si>
  <si>
    <t>DM1.03</t>
  </si>
  <si>
    <t>DM1.04</t>
  </si>
  <si>
    <t>DM1.05</t>
  </si>
  <si>
    <t>DM1.06</t>
  </si>
  <si>
    <t>DM1.07</t>
  </si>
  <si>
    <t>DM1.08</t>
  </si>
  <si>
    <t>DM3.01</t>
  </si>
  <si>
    <t>DM3.02</t>
  </si>
  <si>
    <t>DM 5.01</t>
  </si>
  <si>
    <t>DM 5.02</t>
  </si>
  <si>
    <t>DM 5.03</t>
  </si>
  <si>
    <t>DM5.04</t>
  </si>
  <si>
    <t>DM2.01</t>
  </si>
  <si>
    <t>DM4.01</t>
  </si>
  <si>
    <t>G1.01</t>
  </si>
  <si>
    <t>G2.01</t>
  </si>
  <si>
    <t>G2.02</t>
  </si>
  <si>
    <t>G2.03</t>
  </si>
  <si>
    <t>G3.01</t>
  </si>
  <si>
    <t>G4.01</t>
  </si>
  <si>
    <t>G4.02</t>
  </si>
  <si>
    <t>G4.03</t>
  </si>
  <si>
    <t>G4.04</t>
  </si>
  <si>
    <t>G4.05</t>
  </si>
  <si>
    <t>G5.02</t>
  </si>
  <si>
    <t>G5.03</t>
  </si>
  <si>
    <t>G5.04</t>
  </si>
  <si>
    <t>G5.05</t>
  </si>
  <si>
    <t>G5.06</t>
  </si>
  <si>
    <t>G5.01</t>
  </si>
  <si>
    <t>G1 - Small House Credit</t>
  </si>
  <si>
    <t>G2 - Adaptability</t>
  </si>
  <si>
    <t>G3 - Renewable Power Generation</t>
  </si>
  <si>
    <t>G4 - Remodel &amp; Existing Homes - NOTE:  Credits G4.1 - G4.5 are ONLY available for EXISTING homes</t>
  </si>
  <si>
    <t xml:space="preserve">E1 HERS Index - Energy Rating </t>
  </si>
  <si>
    <t>E2 ENERGY – DESIGN, FIELD TESTING AND INSPECTIONS, FINISHES, AMENITIES</t>
  </si>
  <si>
    <t>W1  FIXTURES AND APPLIANCES</t>
  </si>
  <si>
    <t>W1.07</t>
  </si>
  <si>
    <t>Compact Hot Water Distribution</t>
  </si>
  <si>
    <t>No turf or Drought-Tolerant Turf Installed</t>
  </si>
  <si>
    <t>..</t>
  </si>
  <si>
    <t>Develop and Implement an Erosion Control Site Plan</t>
  </si>
  <si>
    <t>Save and Reuse All Removed Topsoil</t>
  </si>
  <si>
    <t>Detached or Air Sealed Garage or Carport or “NO” Garage</t>
  </si>
  <si>
    <t>Garage (attached or detached) - Exhaust Fan on Motion Sensor and Timer</t>
  </si>
  <si>
    <t xml:space="preserve">Direct Vent, Sealed Combustion Interior Fireplace with Electronic Ignition, Factory Built Wood Burning Fireplace, OR No Fireplace </t>
  </si>
  <si>
    <t>S1  Native Tree and Plant Preservation</t>
  </si>
  <si>
    <t>S2    On Site Use of Cleared Materials</t>
  </si>
  <si>
    <t>S3   Erosion Control / Topsoil Preservation</t>
  </si>
  <si>
    <t>S4   Drainage / Retention</t>
  </si>
  <si>
    <t>H1   Combustion</t>
  </si>
  <si>
    <t>H2   Moisture Control</t>
  </si>
  <si>
    <t xml:space="preserve">H3   Source Control </t>
  </si>
  <si>
    <t>H4   Cleanability</t>
  </si>
  <si>
    <t>H5   Universal Design</t>
  </si>
  <si>
    <t>H6   Ventilation</t>
  </si>
  <si>
    <t>M1   Components</t>
  </si>
  <si>
    <t>M2   Waste Reduction</t>
  </si>
  <si>
    <t>M3   Durability</t>
  </si>
  <si>
    <t>DM1   Hurricane (wind, rain, storm surge)</t>
  </si>
  <si>
    <r>
      <t xml:space="preserve">DM2   Flood </t>
    </r>
    <r>
      <rPr>
        <sz val="12"/>
        <color indexed="9"/>
        <rFont val="Calibri"/>
        <family val="2"/>
      </rPr>
      <t>(must incorporate all three)</t>
    </r>
  </si>
  <si>
    <r>
      <t xml:space="preserve">DM3   Fire </t>
    </r>
    <r>
      <rPr>
        <sz val="12"/>
        <color indexed="9"/>
        <rFont val="Calibri"/>
        <family val="2"/>
      </rPr>
      <t>(must incorporate all three for 3.1)</t>
    </r>
  </si>
  <si>
    <t>DM4    Lightning &amp; Electronics Protection</t>
  </si>
  <si>
    <r>
      <t>DM5    Termites</t>
    </r>
    <r>
      <rPr>
        <b/>
        <sz val="10"/>
        <color indexed="9"/>
        <rFont val="Calibri"/>
        <family val="2"/>
      </rPr>
      <t xml:space="preserve"> </t>
    </r>
    <r>
      <rPr>
        <sz val="10"/>
        <color indexed="9"/>
        <rFont val="Calibri"/>
        <family val="2"/>
      </rPr>
      <t>(must comply w/required credits listed below AND EITHER DM 5.1 OR DM 5.2 OR DM 5.3 to receive points)</t>
    </r>
  </si>
  <si>
    <t>DM 5.01:  Chemical Soil Treatment Used</t>
  </si>
  <si>
    <t>DM 5.02:  Chemical Soil Treatment Avoided</t>
  </si>
  <si>
    <t>Seal Entire Slab</t>
  </si>
  <si>
    <t>NONE</t>
  </si>
  <si>
    <t>H2.09</t>
  </si>
  <si>
    <t>Termites (must comply w/required credits listed below AND EITHER DM 4.01 OR DM 4.02 OR DM 4.03 to receive points)</t>
  </si>
  <si>
    <t>DM 5.03:  Treated wood products</t>
  </si>
  <si>
    <t xml:space="preserve">Raised Slab or Pier Foundation </t>
  </si>
  <si>
    <t>DM1.09</t>
  </si>
  <si>
    <t>DM1.10</t>
  </si>
  <si>
    <t>Roof Shingles</t>
  </si>
  <si>
    <t>Fire Sprinkler System</t>
  </si>
  <si>
    <t>DM6.01</t>
  </si>
  <si>
    <r>
      <t xml:space="preserve">DM2 Flood </t>
    </r>
    <r>
      <rPr>
        <sz val="12"/>
        <color indexed="18"/>
        <rFont val="Calibri"/>
        <family val="2"/>
      </rPr>
      <t>(must incorporate all three)</t>
    </r>
  </si>
  <si>
    <t xml:space="preserve"> You must do one prerequisie from P2.01-P2.04</t>
  </si>
  <si>
    <t>G5 - Other / ADDITIONAL CREDITS</t>
  </si>
  <si>
    <t>FGBC Green Homeowner Checklist</t>
  </si>
  <si>
    <t>G5.07</t>
  </si>
  <si>
    <t>G5.08</t>
  </si>
  <si>
    <t>FGBC Certified Professional</t>
  </si>
  <si>
    <t xml:space="preserve">Energy Star Qualified Home
</t>
  </si>
  <si>
    <t>L1  Lot Choice</t>
  </si>
  <si>
    <t>NOTE;:</t>
  </si>
  <si>
    <t>Total Possible Points (56 for new homes, 73 for existing homes)</t>
  </si>
  <si>
    <t>Mold Prevention - ASTM D3273</t>
  </si>
  <si>
    <t xml:space="preserve"> 2 - 3</t>
  </si>
  <si>
    <t>High-efficiency Water Closets, Dual Flush or Single-Flush toilets (3 points if all WC ≤ 1.1 gpf)</t>
  </si>
  <si>
    <t>Water Closet with UNAR MaP Rating of 600 gpf or greater</t>
  </si>
  <si>
    <t>Rainwater Harvesting System installed with dedicated use</t>
  </si>
  <si>
    <t>Water Closet 1.6 gpf and showers 2.5 gpm or less</t>
  </si>
  <si>
    <t>Water Closets 1.6 gpf and showers 2.5 gpm or less</t>
  </si>
  <si>
    <t>Beauty Shop</t>
  </si>
  <si>
    <t>Bike Share Station</t>
  </si>
  <si>
    <t>Civic Center</t>
  </si>
  <si>
    <t>Community Center </t>
  </si>
  <si>
    <t>Dry Cleaners</t>
  </si>
  <si>
    <t>Fire station </t>
  </si>
  <si>
    <t>Fitness center or gym </t>
  </si>
  <si>
    <t>Laundromat </t>
  </si>
  <si>
    <t>Library </t>
  </si>
  <si>
    <t>Local Government Facility</t>
  </si>
  <si>
    <t>Medical or dental office </t>
  </si>
  <si>
    <t>Pharmacy </t>
  </si>
  <si>
    <t>Police station </t>
  </si>
  <si>
    <t>Post office </t>
  </si>
  <si>
    <t>Senior Care Facility</t>
  </si>
  <si>
    <t>Theater</t>
  </si>
  <si>
    <t>Seal Slab on grade Penetrations.</t>
  </si>
  <si>
    <t>Seal Entire Slab on grade</t>
  </si>
  <si>
    <t>Floor Drains Sealed</t>
  </si>
  <si>
    <t>Conditioned Square Footage of home/unit</t>
  </si>
  <si>
    <t>Total Square Footage of home/unit</t>
  </si>
  <si>
    <t>Square feet of conditioned area (pulls from Application Tab)</t>
  </si>
  <si>
    <t>Seal slab penetrations (Health: H2.04)</t>
  </si>
  <si>
    <t>Vegetation &gt; 2 ft. from foundation (Materials: M3.06)</t>
  </si>
  <si>
    <t>Sprinklers &amp; emitters are 2 feet from house (Materials: M3.07) OR no installed irrigation (Water: W6.01)</t>
  </si>
  <si>
    <t>Orlando, FL  32801</t>
  </si>
  <si>
    <t>Total Possible Points, Category is caped at 35 points.</t>
  </si>
  <si>
    <t>H3.09</t>
  </si>
  <si>
    <t xml:space="preserve"> Zero VOC Paints, Stains, and Finishes</t>
  </si>
  <si>
    <t>Low VOC Paints, Stains, and Finishes</t>
  </si>
  <si>
    <t>Integrated Pest Management</t>
  </si>
  <si>
    <t>Low VOC Sealants and Adhesives</t>
  </si>
  <si>
    <t>Healthy Insulation</t>
  </si>
  <si>
    <t>Healthy  Flooring</t>
  </si>
  <si>
    <t>Minimize Carpet Use</t>
  </si>
  <si>
    <t>bedrooms and all major living spaces have floors, that are light-colored</t>
  </si>
  <si>
    <t xml:space="preserve">Enter the Light Reflectance Value (LRV) of floor </t>
  </si>
  <si>
    <t>Version 12 Rev 1.0</t>
  </si>
  <si>
    <t>Effective January 1, 2021 (Required January 1, 2022)</t>
  </si>
  <si>
    <t>FGBC
PO Box 2406
Orlando, FL  32802</t>
  </si>
  <si>
    <r>
      <t>Confirmed Florida HERS Rating - 3 points for each HERS Index point bel</t>
    </r>
    <r>
      <rPr>
        <sz val="11"/>
        <color indexed="10"/>
        <rFont val="Calibri"/>
        <family val="2"/>
      </rPr>
      <t>ow 75</t>
    </r>
  </si>
  <si>
    <t>Maximum 52w Fixtures in Bathrooms</t>
  </si>
  <si>
    <t>Credit Removed</t>
  </si>
  <si>
    <t xml:space="preserve">Efficient envelope volume
</t>
  </si>
  <si>
    <t>Efficient well pumping
     1 Point: Efficient Well Pump
     3 Points:  Efficient Pool Pump
     4 Points:  Both</t>
  </si>
  <si>
    <t>NA</t>
  </si>
  <si>
    <r>
      <t>Energy Star</t>
    </r>
    <r>
      <rPr>
        <sz val="11"/>
        <color indexed="8"/>
        <rFont val="Calibri"/>
        <family val="2"/>
      </rPr>
      <t>®</t>
    </r>
    <r>
      <rPr>
        <sz val="11"/>
        <color theme="1"/>
        <rFont val="Calibri"/>
        <family val="2"/>
        <scheme val="minor"/>
      </rPr>
      <t xml:space="preserve"> Ceiling Fans</t>
    </r>
  </si>
  <si>
    <t>Rainwater harvesting system installed with dedicated use
1 Point:  Rain Barrel
2 Points:  Non Potable 500 Gallon System
3 Points:  Potable 500 Gallon System
5 Points:  Potable 2,500 Gallon System</t>
  </si>
  <si>
    <t>W6.03a</t>
  </si>
  <si>
    <t>W6.03b</t>
  </si>
  <si>
    <t>100% Micro-irrigation:  Landscape irrigated to FGBC standard</t>
  </si>
  <si>
    <t>All Irrigation installed must be micro-irrigation</t>
  </si>
  <si>
    <t>System must include rain sensor and controller</t>
  </si>
  <si>
    <t>Provide owner and FGBC with irrigation plan, management plan and instructions</t>
  </si>
  <si>
    <t>Pressure Compensating Spray Heads OR Pressure Regulating Irrigation Components</t>
  </si>
  <si>
    <t>Moved to Category 7:  Disaster Mitigation</t>
  </si>
  <si>
    <t>Whole house filtration
3 Points:  Whole House HEPA Filtration
5 Points Whole House HEPA Filtration with UV</t>
  </si>
  <si>
    <t xml:space="preserve"> 1 - 5</t>
  </si>
  <si>
    <t xml:space="preserve"> 3-5</t>
  </si>
  <si>
    <t>M1.13</t>
  </si>
  <si>
    <t>Reduce Heat Island Effect</t>
  </si>
  <si>
    <t>Credit Relocated to Category 7:  Disaster Mitigation</t>
  </si>
  <si>
    <t>DM6   Mold and Leak Damage Prevention</t>
  </si>
  <si>
    <t>DM6.02</t>
  </si>
  <si>
    <t>Water Leak Detection and Shut Off System</t>
  </si>
  <si>
    <t xml:space="preserve"> 1-3</t>
  </si>
  <si>
    <t>DM6.03</t>
  </si>
  <si>
    <t>Install Gas Leak Detection and Shut Off System that is tied to Moblie Smart Application</t>
  </si>
  <si>
    <t xml:space="preserve">Install Water Leak Detection and Shut Off System
     1 Point:  Leak Detection with Automatic Shut Off
     2 Points:  Leak Detection System Installed and tied to Mobile Smart Application
     3 Points:  Leak Detection AND Automatic Shut Off Systems Installed and tied to Mobile Smart Application </t>
  </si>
  <si>
    <t>DM7   Radon</t>
  </si>
  <si>
    <t>DM7.01</t>
  </si>
  <si>
    <t xml:space="preserve">Install a radon/soil gas vent system in the home </t>
  </si>
  <si>
    <t>G2.04</t>
  </si>
  <si>
    <t>G2.05</t>
  </si>
  <si>
    <t>G2.06</t>
  </si>
  <si>
    <t>G2.07</t>
  </si>
  <si>
    <t>Pre-Plumb for Solar Hot Water</t>
  </si>
  <si>
    <t>Zero Energy Ready Home</t>
  </si>
  <si>
    <t>Provide Future Connection to Public or Private Utility</t>
  </si>
  <si>
    <t>Electric Vehicle Charging</t>
  </si>
  <si>
    <t>OR, For Multi-Family Prescriptive Energy Optiton</t>
  </si>
  <si>
    <t>Multi-Family Prescriptive Energy Credits</t>
  </si>
  <si>
    <t xml:space="preserve">This section may not be combined with E1.01a.  
Points claimed in this section will require photographic proof of Level I Insulation installation, a completed thermal bypass inspection checklist (Energy Star Thermal Bypass Checklist is acceptable), a copy of the load calculation and proof that installed tonnage is within 15% of the Manual J’s.  Provide field documentation of Energy Calculation inputs such as window SHGC and U-Factor via photo of window stickers, insulation R values, etc.  
MULTFAMILY LOAD CALCULATIONS:  The load calculations must be for each distinctive unit type and must show that orientation of the unit as well as vertical location of the unit does not change required tonnage. </t>
  </si>
  <si>
    <t>E1.01.b</t>
  </si>
  <si>
    <t>E1.01.b.1  Efficient HVAC Systems</t>
  </si>
  <si>
    <t>a</t>
  </si>
  <si>
    <t>4</t>
  </si>
  <si>
    <t>Minimum SEER 15 w/HSPF 8.2 – AHRI Certificate required</t>
  </si>
  <si>
    <t>b</t>
  </si>
  <si>
    <t>d</t>
  </si>
  <si>
    <t>e</t>
  </si>
  <si>
    <t>f</t>
  </si>
  <si>
    <t xml:space="preserve">c </t>
  </si>
  <si>
    <t>16</t>
  </si>
  <si>
    <t>12</t>
  </si>
  <si>
    <t>Minimum 15 SEER with electri heat</t>
  </si>
  <si>
    <t xml:space="preserve">Minimum SEER 16 w/variable speed AH, electric heat allowed </t>
  </si>
  <si>
    <t>Minimum SEER 16 w/HSPF 9.0 - AHRI Certificate required</t>
  </si>
  <si>
    <t>Minimum SEER 17 w/HSPF &gt;9.0 or ground/water source HP COP &gt; 4.0 – Close loop system only (AHRI Certificate required)</t>
  </si>
  <si>
    <t>Mini-splits ONLY with minimum SEER of 21</t>
  </si>
  <si>
    <t>E1.01.b.2  Ducts</t>
  </si>
  <si>
    <t xml:space="preserve">8 Points:  Ducts in Conditioned space – ALL if in sealed attic or crawlspace must be supply AND return 
OR
6  Points:  Duct blaster Qn out &lt;= 0.4 – Provide report - top floor only </t>
  </si>
  <si>
    <t>E1.01.b.3  Envelope Options</t>
  </si>
  <si>
    <t>g</t>
  </si>
  <si>
    <t>h</t>
  </si>
  <si>
    <t>Radiant Roof Decking – photo required</t>
  </si>
  <si>
    <t>Windows (1) and Glass Sliding Doors (2)- Maximum U-factor = 0.40 and Maximum SHGC = 0.25</t>
  </si>
  <si>
    <t>Minimum R-38 ceiling insulation or R-30 at roof deck</t>
  </si>
  <si>
    <t>CMU walls minimum R-5.1</t>
  </si>
  <si>
    <t>CMU walls/Mass wall &gt;= R-7.0</t>
  </si>
  <si>
    <t xml:space="preserve">2 x 4 Walls minimum R-15 – documentation required </t>
  </si>
  <si>
    <t>2 x 6 Walls or other wall systems (SIPS &amp; ICF) &gt;= R-19</t>
  </si>
  <si>
    <t>Roofing installed is Energy Star, cool roof compliant, has an LRV&gt;50 or a SRI &gt; 78 roofing</t>
  </si>
  <si>
    <t>E1.01.b.4  Appliances/Equipment</t>
  </si>
  <si>
    <t>Energy Star qualified heat pump/hybrid tank water heater – strongly encouraged in garage/non conditined space</t>
  </si>
  <si>
    <t xml:space="preserve"> 8, 10</t>
  </si>
  <si>
    <t xml:space="preserve"> 6, 8</t>
  </si>
  <si>
    <t>Tankless Electric UEF .917 – very high demand – is this more of a water saver than and energy saver</t>
  </si>
  <si>
    <t>Energy Star Dish Washer</t>
  </si>
  <si>
    <t>Energy Star Rerigerator</t>
  </si>
  <si>
    <t xml:space="preserve">Energy Star Washing Machine </t>
  </si>
  <si>
    <t>E1.01.a</t>
  </si>
  <si>
    <t>See E1.01b Tab for Multi-Family Energy Options, score will automatically be transferred to this page</t>
  </si>
  <si>
    <t>Efficient HVAC Total</t>
  </si>
  <si>
    <t>Ducts Total</t>
  </si>
  <si>
    <t>Envelope Options Total</t>
  </si>
  <si>
    <t>Appliance/Equipment Total</t>
  </si>
  <si>
    <t xml:space="preserve"> </t>
  </si>
  <si>
    <t xml:space="preserve"> 1 - 57</t>
  </si>
  <si>
    <t>Max 52W fixtures in bathrooms</t>
  </si>
  <si>
    <t>Credit relocated to Category 8:  General</t>
  </si>
  <si>
    <t>Credit Relocated to Category 8:  General</t>
  </si>
  <si>
    <t xml:space="preserve"> 1, 3, 4</t>
  </si>
  <si>
    <t xml:space="preserve"> 1, 2, 3, 5</t>
  </si>
  <si>
    <t>100% micro-irrigation - Landscape irrigated to FGBC standard</t>
  </si>
  <si>
    <t>Credit moved to Category 7:  Disaster Mitigation</t>
  </si>
  <si>
    <t>Reduce Heat Island Effect - Roof</t>
  </si>
  <si>
    <t>Gas Leak Detection and Shut Off System</t>
  </si>
  <si>
    <t>Radon/Soil Gass Vent System</t>
  </si>
  <si>
    <t>8 Points:  Gas Tankless – must be installed outside conditioned space  
OR
10 Points:  Daisy chained comprehensive gas tankless approach to whole building – for example 8 heaters for whole building (like a mini boiler)</t>
  </si>
  <si>
    <t>Total points for Category 1 Multi-Family Prescriptive Energy Credits</t>
  </si>
  <si>
    <t>Thermal Enclosure System Inspection - This credit is NOT availabe if you claim E1.01.b or G5.07</t>
  </si>
  <si>
    <r>
      <t xml:space="preserve">Greywater system installed
</t>
    </r>
    <r>
      <rPr>
        <sz val="11"/>
        <color theme="1"/>
        <rFont val="Calibri (Body)"/>
      </rPr>
      <t>1 point is available for a preplumbed partial or full system
1 point is available if the air conditioner condensate is reused
2 points are available if a vanity water collection system is installed for toilet flushing
3 points are available if a Whole house greywater system is installed</t>
    </r>
  </si>
  <si>
    <t>Turf is less then 50% of landscape</t>
  </si>
  <si>
    <t>No turf installed in densly shaded areas</t>
  </si>
  <si>
    <r>
      <t>Properly Installed Energy star</t>
    </r>
    <r>
      <rPr>
        <sz val="11"/>
        <color indexed="8"/>
        <rFont val="Calibri"/>
        <family val="2"/>
      </rPr>
      <t>®</t>
    </r>
    <r>
      <rPr>
        <sz val="11"/>
        <color theme="1"/>
        <rFont val="Calibri"/>
        <family val="2"/>
        <scheme val="minor"/>
      </rPr>
      <t xml:space="preserve"> bath fans with timer or humidistat</t>
    </r>
  </si>
  <si>
    <t>Site within 1/2 Mile of EXISTING Basic Community Resources (1 point for 3 unique services)</t>
  </si>
  <si>
    <t>In Partnership with the Florida Department of Economic Opportunity</t>
  </si>
  <si>
    <t>add BMP's to plans</t>
  </si>
  <si>
    <t>site specific</t>
  </si>
  <si>
    <t>Assumed 70% impervious surface as worst case</t>
  </si>
  <si>
    <t>Required for Certification</t>
  </si>
  <si>
    <t>A1.11</t>
  </si>
  <si>
    <t>Sheet A1.11</t>
  </si>
  <si>
    <t>M0.1</t>
  </si>
  <si>
    <t>A6.01</t>
  </si>
  <si>
    <t xml:space="preserve">E1.0 Energy Star Qualified Fixtures </t>
  </si>
  <si>
    <t xml:space="preserve">per plans </t>
  </si>
  <si>
    <t>A3.01 &lt;1.28 gpm per plans</t>
  </si>
  <si>
    <t>A3.01 &lt;1.5 gpm per plans</t>
  </si>
  <si>
    <t>A3.01 &lt;2.0 gpm per plans</t>
  </si>
  <si>
    <t>P0.1 MaP 600 gpf</t>
  </si>
  <si>
    <t>G1.01 - only bahia, zoysia or berrmuda</t>
  </si>
  <si>
    <t>Per plans</t>
  </si>
  <si>
    <t xml:space="preserve">electric </t>
  </si>
  <si>
    <t>M1.0</t>
  </si>
  <si>
    <t>depends on source</t>
  </si>
  <si>
    <t>trusses</t>
  </si>
  <si>
    <t>S2.11</t>
  </si>
  <si>
    <t>P0.1</t>
  </si>
  <si>
    <t>CA = 1, suggest builders join, receive discount</t>
  </si>
  <si>
    <t xml:space="preserve">CA to assist with </t>
  </si>
  <si>
    <t>CA should provide</t>
  </si>
  <si>
    <t>All plans comply</t>
  </si>
  <si>
    <t>called out on M0.1</t>
  </si>
  <si>
    <t>Stick Frame should comply</t>
  </si>
  <si>
    <t>TBD - need paint color to determine</t>
  </si>
  <si>
    <t>If property is on well &amp; pump needs to be replaced</t>
  </si>
  <si>
    <t>can claim if no installed irrgation</t>
  </si>
  <si>
    <t>Need to select applicable points based on location</t>
  </si>
  <si>
    <t>worst case complies</t>
  </si>
  <si>
    <t>depends on manufacturer</t>
  </si>
  <si>
    <t>&lt; 1580 sf</t>
  </si>
  <si>
    <t>all comply</t>
  </si>
  <si>
    <t>Can claim if site has reuse water for irrigation</t>
  </si>
  <si>
    <t>fg</t>
  </si>
  <si>
    <t>G1.01 note 26</t>
  </si>
  <si>
    <t>Ceiling fans MUST be Energy Star E1.01 Note 6</t>
  </si>
  <si>
    <t>Upload the completed Excel file containing the Final Application and Checklist, along with all supporting documents to BuilderTrend.</t>
  </si>
  <si>
    <t>https://buildertrend.net</t>
  </si>
  <si>
    <t xml:space="preserve"> Mailing Instructions</t>
  </si>
  <si>
    <t>Florida Green Building Coalition (FGBC):</t>
  </si>
  <si>
    <t xml:space="preserve">FGBC </t>
  </si>
  <si>
    <t>222 2nd Street, North</t>
  </si>
  <si>
    <t>St. Petersburg, FL 33712</t>
  </si>
  <si>
    <t>Pay online or complete the credit card authorization on the Final Application Form. (Note: Payment by check is acceptable - see mailing instructions below)</t>
  </si>
  <si>
    <t>Revised 4-5-2022</t>
  </si>
  <si>
    <t>For Multi-family projects.  Use this checklist and the application form found on Tab 18.  Green Home Certification is awarded to each individual unit that accumulates the appropriate number of points toward certification.  Each unit is treated as a "home."       
          -  Please refer to the Reference Guide for additional details regarding how to score common spaces for multi-family projects
          -  Please refer to the Standards &amp; Policies document, Section 2-k. for additional information on streamlined submittal options.  
PLEASE NOTE that there is a new prescriptive Energy Path for Multi-family projects in addition to the traditional HERS 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</si>
</sst>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quot;$&quot;#,##0;[Red]&quot;$&quot;#,##0"/>
    <numFmt numFmtId="167" formatCode="\Ch\a\p\te\r"/>
    <numFmt numFmtId="168" formatCode="_(&quot;$&quot;* #,##0.0000_);_(&quot;$&quot;* \(#,##0.0000\);_(&quot;$&quot;* &quot;-&quot;??_);_(@_)"/>
    <numFmt numFmtId="169" formatCode="#,##0;[Red]#,##0"/>
    <numFmt numFmtId="170" formatCode="_(* #,##0.0_);_(* \(#,##0.0\);_(* &quot;-&quot;??_);_(@_)"/>
  </numFmts>
  <fonts count="230" x14ac:knownFonts="1">
    <font>
      <sz val="11"/>
      <color theme="1"/>
      <name val="Calibri"/>
      <family val="2"/>
      <scheme val="minor"/>
    </font>
    <font>
      <sz val="12"/>
      <color theme="1"/>
      <name val="Calibri"/>
      <family val="2"/>
      <scheme val="minor"/>
    </font>
    <font>
      <sz val="11"/>
      <name val="Calibri"/>
      <family val="2"/>
    </font>
    <font>
      <sz val="10"/>
      <name val="Arial"/>
      <family val="2"/>
    </font>
    <font>
      <sz val="10"/>
      <name val="Arial"/>
      <family val="2"/>
    </font>
    <font>
      <b/>
      <sz val="10"/>
      <name val="Arial"/>
      <family val="2"/>
    </font>
    <font>
      <sz val="9"/>
      <color indexed="81"/>
      <name val="Tahoma"/>
      <family val="2"/>
    </font>
    <font>
      <sz val="10"/>
      <name val="Arial"/>
      <family val="2"/>
    </font>
    <font>
      <vertAlign val="superscript"/>
      <sz val="10"/>
      <name val="Arial"/>
      <family val="2"/>
    </font>
    <font>
      <sz val="11"/>
      <color indexed="8"/>
      <name val="Calibri"/>
      <family val="2"/>
    </font>
    <font>
      <b/>
      <sz val="14"/>
      <color indexed="8"/>
      <name val="Calibri"/>
      <family val="2"/>
    </font>
    <font>
      <b/>
      <sz val="10"/>
      <color indexed="8"/>
      <name val="Arial"/>
      <family val="2"/>
    </font>
    <font>
      <sz val="11"/>
      <name val="Calibri"/>
      <family val="2"/>
    </font>
    <font>
      <sz val="8"/>
      <name val="Calibri"/>
      <family val="2"/>
    </font>
    <font>
      <sz val="10"/>
      <color indexed="17"/>
      <name val="Arial"/>
      <family val="2"/>
    </font>
    <font>
      <u/>
      <sz val="10"/>
      <color indexed="12"/>
      <name val="Arial"/>
      <family val="2"/>
    </font>
    <font>
      <u/>
      <sz val="10"/>
      <name val="Arial"/>
      <family val="2"/>
    </font>
    <font>
      <b/>
      <sz val="11"/>
      <color indexed="13"/>
      <name val="Calibri"/>
      <family val="2"/>
    </font>
    <font>
      <i/>
      <sz val="10"/>
      <name val="Arial"/>
      <family val="2"/>
    </font>
    <font>
      <b/>
      <i/>
      <sz val="10"/>
      <name val="Arial"/>
      <family val="2"/>
    </font>
    <font>
      <b/>
      <sz val="9"/>
      <color indexed="81"/>
      <name val="Tahoma"/>
      <family val="2"/>
    </font>
    <font>
      <b/>
      <sz val="11"/>
      <color indexed="8"/>
      <name val="Calibri"/>
      <family val="2"/>
    </font>
    <font>
      <b/>
      <sz val="11"/>
      <name val="Calibri"/>
      <family val="2"/>
    </font>
    <font>
      <sz val="11"/>
      <color indexed="81"/>
      <name val="Arial"/>
      <family val="2"/>
    </font>
    <font>
      <sz val="10"/>
      <color indexed="81"/>
      <name val="Arial"/>
      <family val="2"/>
    </font>
    <font>
      <sz val="7.7"/>
      <color indexed="8"/>
      <name val="Calibri"/>
      <family val="2"/>
    </font>
    <font>
      <sz val="9.35"/>
      <color indexed="8"/>
      <name val="Calibri"/>
      <family val="2"/>
    </font>
    <font>
      <sz val="11"/>
      <color indexed="10"/>
      <name val="Calibri"/>
      <family val="2"/>
    </font>
    <font>
      <sz val="10"/>
      <color indexed="10"/>
      <name val="Arial"/>
      <family val="2"/>
    </font>
    <font>
      <b/>
      <sz val="10"/>
      <color indexed="9"/>
      <name val="Calibri"/>
      <family val="2"/>
    </font>
    <font>
      <sz val="12"/>
      <color indexed="9"/>
      <name val="Calibri"/>
      <family val="2"/>
    </font>
    <font>
      <sz val="8"/>
      <color indexed="81"/>
      <name val="Tahoma"/>
      <family val="2"/>
    </font>
    <font>
      <sz val="10"/>
      <color indexed="81"/>
      <name val="Tahoma"/>
      <family val="2"/>
    </font>
    <font>
      <sz val="11"/>
      <color indexed="12"/>
      <name val="Tahoma"/>
      <family val="2"/>
    </font>
    <font>
      <sz val="10"/>
      <color indexed="12"/>
      <name val="Arial"/>
      <family val="2"/>
    </font>
    <font>
      <sz val="11"/>
      <color indexed="8"/>
      <name val="Arial"/>
      <family val="2"/>
    </font>
    <font>
      <sz val="10"/>
      <color indexed="8"/>
      <name val="Arial"/>
      <family val="2"/>
    </font>
    <font>
      <sz val="11"/>
      <color indexed="30"/>
      <name val="Arial"/>
      <family val="2"/>
    </font>
    <font>
      <sz val="11"/>
      <color indexed="10"/>
      <name val="Arial"/>
      <family val="2"/>
    </font>
    <font>
      <b/>
      <sz val="11"/>
      <name val="Arial"/>
      <family val="2"/>
    </font>
    <font>
      <sz val="11"/>
      <name val="Arial"/>
      <family val="2"/>
    </font>
    <font>
      <u/>
      <sz val="11"/>
      <name val="Arial"/>
      <family val="2"/>
    </font>
    <font>
      <b/>
      <sz val="12"/>
      <name val="Arial"/>
      <family val="2"/>
    </font>
    <font>
      <strike/>
      <sz val="11"/>
      <name val="Arial"/>
      <family val="2"/>
    </font>
    <font>
      <sz val="11"/>
      <name val="Wingdings"/>
      <charset val="2"/>
    </font>
    <font>
      <i/>
      <sz val="11"/>
      <name val="Arial"/>
      <family val="2"/>
    </font>
    <font>
      <sz val="14"/>
      <color indexed="17"/>
      <name val="Calibri"/>
      <family val="2"/>
    </font>
    <font>
      <sz val="14"/>
      <name val="Calibri"/>
      <family val="2"/>
    </font>
    <font>
      <sz val="9"/>
      <color indexed="81"/>
      <name val="Arial"/>
      <family val="2"/>
    </font>
    <font>
      <sz val="10"/>
      <color indexed="9"/>
      <name val="Calibri"/>
      <family val="2"/>
    </font>
    <font>
      <sz val="12"/>
      <color indexed="18"/>
      <name val="Calibri"/>
      <family val="2"/>
    </font>
    <font>
      <b/>
      <sz val="10"/>
      <color indexed="18"/>
      <name val="Calibri"/>
      <family val="2"/>
    </font>
    <font>
      <sz val="10"/>
      <color indexed="18"/>
      <name val="Calibri"/>
      <family val="2"/>
    </font>
    <font>
      <u/>
      <sz val="12"/>
      <color indexed="12"/>
      <name val="Arial"/>
      <family val="2"/>
    </font>
    <font>
      <sz val="12"/>
      <name val="Arial"/>
      <family val="2"/>
    </font>
    <font>
      <vertAlign val="superscript"/>
      <sz val="11"/>
      <color indexed="10"/>
      <name val="Calibri"/>
      <family val="2"/>
    </font>
    <font>
      <b/>
      <sz val="10"/>
      <color indexed="17"/>
      <name val="Calibri"/>
      <family val="2"/>
    </font>
    <font>
      <b/>
      <sz val="14"/>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sz val="11"/>
      <name val="Calibri"/>
      <family val="2"/>
      <scheme val="minor"/>
    </font>
    <font>
      <b/>
      <sz val="11"/>
      <color rgb="FF008000"/>
      <name val="Calibri"/>
      <family val="2"/>
      <scheme val="minor"/>
    </font>
    <font>
      <b/>
      <sz val="11"/>
      <color indexed="17"/>
      <name val="Calibri"/>
      <family val="2"/>
      <scheme val="minor"/>
    </font>
    <font>
      <b/>
      <sz val="10"/>
      <name val="Calibri"/>
      <family val="2"/>
      <scheme val="minor"/>
    </font>
    <font>
      <b/>
      <sz val="10"/>
      <color indexed="12"/>
      <name val="Calibri"/>
      <family val="2"/>
      <scheme val="minor"/>
    </font>
    <font>
      <b/>
      <sz val="10"/>
      <color indexed="17"/>
      <name val="Calibri"/>
      <family val="2"/>
      <scheme val="minor"/>
    </font>
    <font>
      <sz val="10"/>
      <color indexed="17"/>
      <name val="Calibri"/>
      <family val="2"/>
      <scheme val="minor"/>
    </font>
    <font>
      <b/>
      <sz val="12"/>
      <color indexed="17"/>
      <name val="Calibri"/>
      <family val="2"/>
      <scheme val="minor"/>
    </font>
    <font>
      <sz val="12"/>
      <name val="Calibri"/>
      <family val="2"/>
      <scheme val="minor"/>
    </font>
    <font>
      <sz val="12"/>
      <color indexed="8"/>
      <name val="Calibri"/>
      <family val="2"/>
      <scheme val="minor"/>
    </font>
    <font>
      <b/>
      <sz val="10"/>
      <color indexed="57"/>
      <name val="Calibri"/>
      <family val="2"/>
      <scheme val="minor"/>
    </font>
    <font>
      <sz val="8.5"/>
      <color indexed="10"/>
      <name val="Calibri"/>
      <family val="2"/>
      <scheme val="minor"/>
    </font>
    <font>
      <sz val="10"/>
      <color indexed="10"/>
      <name val="Calibri"/>
      <family val="2"/>
      <scheme val="minor"/>
    </font>
    <font>
      <sz val="10"/>
      <color indexed="9"/>
      <name val="Calibri"/>
      <family val="2"/>
      <scheme val="minor"/>
    </font>
    <font>
      <sz val="11"/>
      <color indexed="10"/>
      <name val="Calibri"/>
      <family val="2"/>
      <scheme val="minor"/>
    </font>
    <font>
      <sz val="11"/>
      <color indexed="8"/>
      <name val="Calibri"/>
      <family val="2"/>
      <scheme val="minor"/>
    </font>
    <font>
      <sz val="10"/>
      <name val="Calibri"/>
      <family val="2"/>
      <scheme val="minor"/>
    </font>
    <font>
      <sz val="8"/>
      <name val="Calibri"/>
      <family val="2"/>
      <scheme val="minor"/>
    </font>
    <font>
      <b/>
      <sz val="10"/>
      <color indexed="9"/>
      <name val="Calibri"/>
      <family val="2"/>
      <scheme val="minor"/>
    </font>
    <font>
      <b/>
      <sz val="11"/>
      <name val="Calibri"/>
      <family val="2"/>
      <scheme val="minor"/>
    </font>
    <font>
      <b/>
      <sz val="9"/>
      <color indexed="8"/>
      <name val="Calibri"/>
      <family val="2"/>
      <scheme val="minor"/>
    </font>
    <font>
      <b/>
      <sz val="11"/>
      <color rgb="FFFFFF00"/>
      <name val="Calibri"/>
      <family val="2"/>
    </font>
    <font>
      <b/>
      <sz val="10"/>
      <color theme="0"/>
      <name val="Arial"/>
      <family val="2"/>
    </font>
    <font>
      <b/>
      <sz val="11"/>
      <color theme="0"/>
      <name val="Calibri"/>
      <family val="2"/>
    </font>
    <font>
      <sz val="10"/>
      <color theme="1"/>
      <name val="Calibri"/>
      <family val="2"/>
      <scheme val="minor"/>
    </font>
    <font>
      <sz val="12"/>
      <color rgb="FFFF0000"/>
      <name val="Calibri"/>
      <family val="2"/>
      <scheme val="minor"/>
    </font>
    <font>
      <sz val="11"/>
      <color indexed="17"/>
      <name val="Calibri"/>
      <family val="2"/>
      <scheme val="minor"/>
    </font>
    <font>
      <sz val="11"/>
      <color theme="1"/>
      <name val="Arial"/>
      <family val="2"/>
    </font>
    <font>
      <b/>
      <sz val="24"/>
      <color rgb="FF008000"/>
      <name val="Times New Roman"/>
      <family val="1"/>
    </font>
    <font>
      <sz val="20"/>
      <color rgb="FF008000"/>
      <name val="Arial"/>
      <family val="2"/>
    </font>
    <font>
      <sz val="10"/>
      <color rgb="FF000000"/>
      <name val="Arial"/>
      <family val="2"/>
    </font>
    <font>
      <sz val="10"/>
      <color rgb="FF008000"/>
      <name val="Times New Roman"/>
      <family val="1"/>
    </font>
    <font>
      <u/>
      <sz val="10"/>
      <color indexed="12"/>
      <name val="Calibri"/>
      <family val="2"/>
      <scheme val="minor"/>
    </font>
    <font>
      <sz val="12"/>
      <color theme="1"/>
      <name val="Calibri"/>
      <family val="2"/>
      <scheme val="minor"/>
    </font>
    <font>
      <b/>
      <sz val="14"/>
      <color theme="0"/>
      <name val="Calibri"/>
      <family val="2"/>
      <scheme val="minor"/>
    </font>
    <font>
      <sz val="10"/>
      <color theme="0"/>
      <name val="Calibri"/>
      <family val="2"/>
      <scheme val="minor"/>
    </font>
    <font>
      <sz val="12"/>
      <color theme="0"/>
      <name val="Calibri"/>
      <family val="2"/>
      <scheme val="minor"/>
    </font>
    <font>
      <b/>
      <sz val="12"/>
      <color theme="0"/>
      <name val="Calibri"/>
      <family val="2"/>
      <scheme val="minor"/>
    </font>
    <font>
      <b/>
      <sz val="10"/>
      <color theme="1"/>
      <name val="Arial"/>
      <family val="2"/>
    </font>
    <font>
      <b/>
      <sz val="12"/>
      <color theme="3" tint="-0.249977111117893"/>
      <name val="Calibri"/>
      <family val="2"/>
      <scheme val="minor"/>
    </font>
    <font>
      <sz val="11"/>
      <color rgb="FF0070C0"/>
      <name val="Arial"/>
      <family val="2"/>
    </font>
    <font>
      <sz val="11"/>
      <color indexed="9"/>
      <name val="Calibri"/>
      <family val="2"/>
      <scheme val="minor"/>
    </font>
    <font>
      <sz val="9"/>
      <name val="Calibri"/>
      <family val="2"/>
      <scheme val="minor"/>
    </font>
    <font>
      <sz val="12"/>
      <color indexed="9"/>
      <name val="Calibri"/>
      <family val="2"/>
      <scheme val="minor"/>
    </font>
    <font>
      <sz val="11"/>
      <color rgb="FF7030A0"/>
      <name val="Calibri"/>
      <family val="2"/>
      <scheme val="minor"/>
    </font>
    <font>
      <sz val="22"/>
      <color theme="1"/>
      <name val="Calibri"/>
      <family val="2"/>
      <scheme val="minor"/>
    </font>
    <font>
      <sz val="22"/>
      <color rgb="FF008000"/>
      <name val="Calibri"/>
      <family val="2"/>
      <scheme val="minor"/>
    </font>
    <font>
      <sz val="10"/>
      <color rgb="FFFF0000"/>
      <name val="Arial"/>
      <family val="2"/>
    </font>
    <font>
      <sz val="10"/>
      <color theme="1"/>
      <name val="Arial"/>
      <family val="2"/>
    </font>
    <font>
      <sz val="11"/>
      <color theme="0"/>
      <name val="Arial"/>
      <family val="2"/>
    </font>
    <font>
      <b/>
      <sz val="10"/>
      <color theme="0"/>
      <name val="Calibri"/>
      <family val="2"/>
      <scheme val="minor"/>
    </font>
    <font>
      <sz val="11"/>
      <color theme="0"/>
      <name val="Calibri"/>
      <family val="2"/>
    </font>
    <font>
      <b/>
      <sz val="12"/>
      <color rgb="FF000000"/>
      <name val="Arial"/>
      <family val="2"/>
    </font>
    <font>
      <b/>
      <sz val="11"/>
      <color rgb="FF000000"/>
      <name val="Arial"/>
      <family val="2"/>
    </font>
    <font>
      <sz val="11"/>
      <color rgb="FF000000"/>
      <name val="Calibri"/>
      <family val="2"/>
      <scheme val="minor"/>
    </font>
    <font>
      <sz val="10"/>
      <color rgb="FF000000"/>
      <name val="Calibri"/>
      <family val="2"/>
      <scheme val="minor"/>
    </font>
    <font>
      <b/>
      <sz val="14"/>
      <color indexed="17"/>
      <name val="Calibri"/>
      <family val="2"/>
      <scheme val="minor"/>
    </font>
    <font>
      <b/>
      <sz val="11"/>
      <color rgb="FF0070C0"/>
      <name val="Calibri"/>
      <family val="2"/>
      <scheme val="minor"/>
    </font>
    <font>
      <sz val="10"/>
      <color indexed="8"/>
      <name val="Calibri"/>
      <family val="2"/>
      <scheme val="minor"/>
    </font>
    <font>
      <b/>
      <sz val="10"/>
      <color rgb="FF008000"/>
      <name val="Calibri"/>
      <family val="2"/>
      <scheme val="minor"/>
    </font>
    <font>
      <b/>
      <sz val="11"/>
      <color indexed="8"/>
      <name val="Calibri"/>
      <family val="2"/>
      <scheme val="minor"/>
    </font>
    <font>
      <b/>
      <sz val="14"/>
      <color theme="1"/>
      <name val="Calibri"/>
      <family val="2"/>
      <scheme val="minor"/>
    </font>
    <font>
      <sz val="10"/>
      <color rgb="FFFF0000"/>
      <name val="Calibri"/>
      <family val="2"/>
      <scheme val="minor"/>
    </font>
    <font>
      <b/>
      <sz val="12"/>
      <name val="Calibri"/>
      <family val="2"/>
      <scheme val="minor"/>
    </font>
    <font>
      <b/>
      <sz val="12"/>
      <color rgb="FF7030A0"/>
      <name val="Calibri"/>
      <family val="2"/>
      <scheme val="minor"/>
    </font>
    <font>
      <sz val="12"/>
      <color theme="1"/>
      <name val="Arial"/>
      <family val="2"/>
    </font>
    <font>
      <b/>
      <sz val="12"/>
      <color rgb="FFFF0000"/>
      <name val="Calibri"/>
      <family val="2"/>
      <scheme val="minor"/>
    </font>
    <font>
      <u/>
      <sz val="12"/>
      <color theme="1"/>
      <name val="Calibri"/>
      <family val="2"/>
      <scheme val="minor"/>
    </font>
    <font>
      <b/>
      <sz val="11"/>
      <color theme="3" tint="-0.249977111117893"/>
      <name val="Calibri"/>
      <family val="2"/>
      <scheme val="minor"/>
    </font>
    <font>
      <sz val="11"/>
      <color theme="3" tint="-0.249977111117893"/>
      <name val="Calibri"/>
      <family val="2"/>
      <scheme val="minor"/>
    </font>
    <font>
      <b/>
      <sz val="12"/>
      <color rgb="FF008000"/>
      <name val="Arial"/>
      <family val="2"/>
    </font>
    <font>
      <sz val="11"/>
      <color rgb="FF0070C0"/>
      <name val="Calibri"/>
      <family val="2"/>
      <scheme val="minor"/>
    </font>
    <font>
      <b/>
      <sz val="11"/>
      <color rgb="FFFF0000"/>
      <name val="Calibri"/>
      <family val="2"/>
      <scheme val="minor"/>
    </font>
    <font>
      <sz val="24"/>
      <color rgb="FF008000"/>
      <name val="Lucida Handwriting"/>
      <family val="4"/>
    </font>
    <font>
      <sz val="12"/>
      <color rgb="FF000000"/>
      <name val="Calibri"/>
      <family val="2"/>
      <scheme val="minor"/>
    </font>
    <font>
      <b/>
      <sz val="12"/>
      <color theme="1"/>
      <name val="Calibri"/>
      <family val="2"/>
      <scheme val="minor"/>
    </font>
    <font>
      <b/>
      <sz val="11.5"/>
      <color rgb="FF000000"/>
      <name val="Arial"/>
      <family val="2"/>
    </font>
    <font>
      <sz val="11"/>
      <color rgb="FF000000"/>
      <name val="Arial"/>
      <family val="2"/>
    </font>
    <font>
      <b/>
      <sz val="10"/>
      <color rgb="FF000000"/>
      <name val="Arial"/>
      <family val="2"/>
    </font>
    <font>
      <i/>
      <sz val="10"/>
      <color theme="1"/>
      <name val="Calibri"/>
      <family val="2"/>
      <scheme val="minor"/>
    </font>
    <font>
      <u/>
      <sz val="11"/>
      <color theme="10"/>
      <name val="Calibri"/>
      <family val="2"/>
    </font>
    <font>
      <b/>
      <sz val="11"/>
      <color theme="0"/>
      <name val="Arial"/>
      <family val="2"/>
    </font>
    <font>
      <sz val="9"/>
      <color theme="1"/>
      <name val="Calibri"/>
      <family val="2"/>
      <scheme val="minor"/>
    </font>
    <font>
      <b/>
      <sz val="10"/>
      <color rgb="FF006600"/>
      <name val="Calibri"/>
      <family val="2"/>
      <scheme val="minor"/>
    </font>
    <font>
      <b/>
      <sz val="14"/>
      <color rgb="FF006600"/>
      <name val="Calibri"/>
      <family val="2"/>
      <scheme val="minor"/>
    </font>
    <font>
      <b/>
      <sz val="10"/>
      <color rgb="FFFF0000"/>
      <name val="Calibri"/>
      <family val="2"/>
      <scheme val="minor"/>
    </font>
    <font>
      <sz val="11"/>
      <color rgb="FFFF0000"/>
      <name val="Arial"/>
      <family val="2"/>
    </font>
    <font>
      <sz val="11"/>
      <color rgb="FFFF0000"/>
      <name val="Calibri"/>
      <family val="2"/>
    </font>
    <font>
      <b/>
      <sz val="11"/>
      <color theme="1"/>
      <name val="Arial"/>
      <family val="2"/>
    </font>
    <font>
      <b/>
      <u/>
      <sz val="12"/>
      <name val="Arial"/>
      <family val="2"/>
    </font>
    <font>
      <sz val="20"/>
      <color theme="1"/>
      <name val="Arial"/>
      <family val="2"/>
    </font>
    <font>
      <b/>
      <sz val="20"/>
      <color rgb="FF008000"/>
      <name val="Times New Roman"/>
      <family val="1"/>
    </font>
    <font>
      <b/>
      <u/>
      <sz val="11"/>
      <color theme="1"/>
      <name val="Arial"/>
      <family val="2"/>
    </font>
    <font>
      <sz val="11"/>
      <color rgb="FFFF0000"/>
      <name val="Symbol"/>
      <family val="1"/>
      <charset val="2"/>
    </font>
    <font>
      <b/>
      <sz val="11"/>
      <color rgb="FF0070C0"/>
      <name val="Arial"/>
      <family val="2"/>
    </font>
    <font>
      <sz val="10"/>
      <color rgb="FF006600"/>
      <name val="Arial"/>
      <family val="2"/>
    </font>
    <font>
      <sz val="11"/>
      <color theme="1"/>
      <name val="Calibri"/>
      <family val="2"/>
    </font>
    <font>
      <u/>
      <sz val="11"/>
      <color theme="11"/>
      <name val="Calibri"/>
      <family val="2"/>
      <scheme val="minor"/>
    </font>
    <font>
      <sz val="9"/>
      <color indexed="81"/>
      <name val="Calibri"/>
      <family val="2"/>
    </font>
    <font>
      <sz val="12"/>
      <color theme="0"/>
      <name val="Arial"/>
      <family val="2"/>
    </font>
    <font>
      <b/>
      <sz val="11"/>
      <color indexed="9"/>
      <name val="Calibri"/>
      <family val="2"/>
      <scheme val="minor"/>
    </font>
    <font>
      <b/>
      <sz val="10"/>
      <color indexed="81"/>
      <name val="Arial"/>
      <family val="2"/>
    </font>
    <font>
      <vertAlign val="superscript"/>
      <sz val="10"/>
      <color indexed="81"/>
      <name val="Arial"/>
      <family val="2"/>
    </font>
    <font>
      <sz val="11"/>
      <color theme="0" tint="-0.34998626667073579"/>
      <name val="Calibri"/>
      <family val="2"/>
      <scheme val="minor"/>
    </font>
    <font>
      <vertAlign val="superscript"/>
      <sz val="11"/>
      <color rgb="FFFF0000"/>
      <name val="Calibri"/>
      <family val="2"/>
      <scheme val="minor"/>
    </font>
    <font>
      <vertAlign val="superscript"/>
      <sz val="11"/>
      <color indexed="8"/>
      <name val="Calibri"/>
      <family val="2"/>
    </font>
    <font>
      <b/>
      <sz val="11"/>
      <color rgb="FFC00000"/>
      <name val="Arial"/>
      <family val="2"/>
    </font>
    <font>
      <b/>
      <sz val="9"/>
      <color indexed="81"/>
      <name val="Calibri"/>
      <family val="2"/>
    </font>
    <font>
      <b/>
      <sz val="14"/>
      <color indexed="8"/>
      <name val="Calibri"/>
      <family val="2"/>
      <scheme val="minor"/>
    </font>
    <font>
      <b/>
      <sz val="16"/>
      <color theme="0"/>
      <name val="Calibri"/>
      <family val="2"/>
      <scheme val="minor"/>
    </font>
    <font>
      <sz val="16"/>
      <color theme="1"/>
      <name val="Calibri"/>
      <family val="2"/>
      <scheme val="minor"/>
    </font>
    <font>
      <b/>
      <sz val="12"/>
      <color rgb="FFFF0000"/>
      <name val="Arial"/>
      <family val="2"/>
    </font>
    <font>
      <b/>
      <sz val="11"/>
      <color rgb="FFFF0000"/>
      <name val="Arial"/>
      <family val="2"/>
    </font>
    <font>
      <sz val="14"/>
      <color rgb="FF008000"/>
      <name val="Arial"/>
      <family val="2"/>
    </font>
    <font>
      <i/>
      <sz val="10"/>
      <color rgb="FF006600"/>
      <name val="Arial"/>
      <family val="2"/>
    </font>
    <font>
      <b/>
      <sz val="14"/>
      <color indexed="17"/>
      <name val="Calibri"/>
      <family val="2"/>
      <scheme val="minor"/>
    </font>
    <font>
      <b/>
      <sz val="10"/>
      <color indexed="9"/>
      <name val="Calibri"/>
      <family val="2"/>
      <scheme val="minor"/>
    </font>
    <font>
      <sz val="11"/>
      <color theme="1"/>
      <name val="Calibri"/>
      <family val="2"/>
      <scheme val="minor"/>
    </font>
    <font>
      <sz val="11"/>
      <color indexed="9"/>
      <name val="Calibri"/>
      <family val="2"/>
      <scheme val="minor"/>
    </font>
    <font>
      <sz val="12"/>
      <name val="Calibri"/>
      <family val="2"/>
      <scheme val="minor"/>
    </font>
    <font>
      <sz val="10"/>
      <name val="Calibri"/>
      <family val="2"/>
      <scheme val="minor"/>
    </font>
    <font>
      <sz val="11"/>
      <color theme="0"/>
      <name val="Calibri"/>
      <family val="2"/>
      <scheme val="minor"/>
    </font>
    <font>
      <sz val="9"/>
      <name val="Calibri"/>
      <family val="2"/>
      <scheme val="minor"/>
    </font>
    <font>
      <sz val="11"/>
      <name val="Calibri"/>
      <family val="2"/>
      <scheme val="minor"/>
    </font>
    <font>
      <b/>
      <sz val="11"/>
      <color theme="1"/>
      <name val="Calibri"/>
      <family val="2"/>
      <scheme val="minor"/>
    </font>
    <font>
      <b/>
      <sz val="12"/>
      <color theme="0"/>
      <name val="Calibri"/>
      <family val="2"/>
      <scheme val="minor"/>
    </font>
    <font>
      <b/>
      <sz val="11"/>
      <name val="Calibri"/>
      <family val="2"/>
      <scheme val="minor"/>
    </font>
    <font>
      <b/>
      <sz val="10"/>
      <color indexed="17"/>
      <name val="Calibri"/>
      <family val="2"/>
      <scheme val="minor"/>
    </font>
    <font>
      <sz val="10"/>
      <color indexed="9"/>
      <name val="Calibri"/>
      <family val="2"/>
      <scheme val="minor"/>
    </font>
    <font>
      <b/>
      <sz val="11"/>
      <color rgb="FFFF0000"/>
      <name val="Calibri"/>
      <family val="2"/>
      <scheme val="minor"/>
    </font>
    <font>
      <sz val="11"/>
      <color indexed="10"/>
      <name val="Calibri"/>
      <family val="2"/>
      <scheme val="minor"/>
    </font>
    <font>
      <sz val="9"/>
      <color theme="0"/>
      <name val="Calibri"/>
      <family val="2"/>
      <scheme val="minor"/>
    </font>
    <font>
      <sz val="11"/>
      <color rgb="FFFF0000"/>
      <name val="Calibri"/>
      <family val="2"/>
      <scheme val="minor"/>
    </font>
    <font>
      <b/>
      <sz val="14"/>
      <color theme="0"/>
      <name val="Calibri"/>
      <family val="2"/>
      <scheme val="minor"/>
    </font>
    <font>
      <sz val="10"/>
      <color theme="1"/>
      <name val="Calibri"/>
      <family val="2"/>
      <scheme val="minor"/>
    </font>
    <font>
      <b/>
      <sz val="12"/>
      <color rgb="FF008000"/>
      <name val="Calibri"/>
      <family val="2"/>
      <scheme val="minor"/>
    </font>
    <font>
      <sz val="12"/>
      <color theme="1"/>
      <name val="Calibri"/>
      <family val="2"/>
      <scheme val="minor"/>
    </font>
    <font>
      <sz val="12"/>
      <color indexed="8"/>
      <name val="Calibri"/>
      <family val="2"/>
    </font>
    <font>
      <sz val="8.5"/>
      <color theme="0"/>
      <name val="Calibri"/>
      <family val="2"/>
      <scheme val="minor"/>
    </font>
    <font>
      <b/>
      <sz val="10"/>
      <color indexed="10"/>
      <name val="Calibri"/>
      <family val="2"/>
      <scheme val="minor"/>
    </font>
    <font>
      <b/>
      <sz val="10"/>
      <color theme="1"/>
      <name val="Calibri"/>
      <family val="2"/>
      <scheme val="minor"/>
    </font>
    <font>
      <sz val="8.5"/>
      <color theme="1"/>
      <name val="Calibri"/>
      <family val="2"/>
      <scheme val="minor"/>
    </font>
    <font>
      <sz val="10"/>
      <color rgb="FF000000"/>
      <name val="Tahoma"/>
      <family val="2"/>
    </font>
    <font>
      <sz val="9"/>
      <color rgb="FF000000"/>
      <name val="Tahoma"/>
      <family val="2"/>
    </font>
    <font>
      <sz val="10"/>
      <color rgb="FF000000"/>
      <name val="Arial"/>
      <family val="34"/>
    </font>
    <font>
      <b/>
      <sz val="9"/>
      <color rgb="FF000000"/>
      <name val="Calibri"/>
      <family val="2"/>
    </font>
    <font>
      <sz val="9"/>
      <color rgb="FF000000"/>
      <name val="Calibri"/>
      <family val="2"/>
    </font>
    <font>
      <b/>
      <sz val="10"/>
      <color rgb="FF000000"/>
      <name val="Calibri"/>
      <family val="2"/>
      <scheme val="minor"/>
    </font>
    <font>
      <sz val="10"/>
      <color rgb="FF000000"/>
      <name val="Wingdings"/>
      <charset val="2"/>
    </font>
    <font>
      <sz val="10"/>
      <color rgb="FF000000"/>
      <name val="Cambria Math"/>
      <family val="34"/>
    </font>
    <font>
      <b/>
      <u/>
      <sz val="10"/>
      <color rgb="FF000000"/>
      <name val="Arial"/>
      <family val="2"/>
    </font>
    <font>
      <b/>
      <sz val="9"/>
      <color rgb="FF000000"/>
      <name val="Tahoma"/>
      <family val="2"/>
    </font>
    <font>
      <sz val="11"/>
      <color rgb="FF008000"/>
      <name val="Arial"/>
      <family val="2"/>
    </font>
    <font>
      <sz val="11"/>
      <color rgb="FF0000FF"/>
      <name val="Arial"/>
      <family val="2"/>
    </font>
    <font>
      <b/>
      <sz val="10"/>
      <color rgb="FF000000"/>
      <name val="Arial"/>
      <family val="34"/>
    </font>
    <font>
      <sz val="10"/>
      <color theme="1"/>
      <name val="Calibri (Body)"/>
    </font>
    <font>
      <vertAlign val="superscript"/>
      <sz val="10"/>
      <color rgb="FF000000"/>
      <name val="Arial"/>
      <family val="2"/>
    </font>
    <font>
      <sz val="11"/>
      <color rgb="FF000000"/>
      <name val="Symbol"/>
      <family val="1"/>
      <charset val="2"/>
    </font>
    <font>
      <sz val="11"/>
      <color theme="1"/>
      <name val="Calibri (Body)"/>
    </font>
    <font>
      <sz val="10"/>
      <color rgb="FF0000FF"/>
      <name val="Tahoma"/>
      <family val="2"/>
    </font>
    <font>
      <sz val="10"/>
      <color rgb="FF000000"/>
      <name val="Calibri"/>
      <family val="2"/>
    </font>
    <font>
      <b/>
      <sz val="16"/>
      <color theme="3" tint="-0.249977111117893"/>
      <name val="Times New Roman"/>
      <family val="1"/>
    </font>
    <font>
      <b/>
      <sz val="16"/>
      <color rgb="FF008000"/>
      <name val="Times New Roman"/>
      <family val="1"/>
    </font>
    <font>
      <u/>
      <sz val="10"/>
      <color rgb="FF000000"/>
      <name val="Arial"/>
      <family val="2"/>
    </font>
    <font>
      <sz val="9"/>
      <color rgb="FF000000"/>
      <name val="Arial"/>
      <family val="2"/>
    </font>
    <font>
      <sz val="10"/>
      <color rgb="FF0000FF"/>
      <name val="Arial"/>
      <family val="2"/>
    </font>
    <font>
      <sz val="12"/>
      <color rgb="FF000000"/>
      <name val="Arial"/>
      <family val="2"/>
    </font>
  </fonts>
  <fills count="25">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57"/>
        <bgColor indexed="64"/>
      </patternFill>
    </fill>
    <fill>
      <patternFill patternType="solid">
        <fgColor rgb="FF00660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996600"/>
        <bgColor indexed="64"/>
      </patternFill>
    </fill>
    <fill>
      <patternFill patternType="solid">
        <fgColor theme="0" tint="-0.249977111117893"/>
        <bgColor indexed="64"/>
      </patternFill>
    </fill>
    <fill>
      <patternFill patternType="solid">
        <fgColor rgb="FFF2CE48"/>
        <bgColor indexed="64"/>
      </patternFill>
    </fill>
    <fill>
      <patternFill patternType="solid">
        <fgColor theme="0" tint="-0.499984740745262"/>
        <bgColor indexed="64"/>
      </patternFill>
    </fill>
    <fill>
      <patternFill patternType="solid">
        <fgColor rgb="FF008000"/>
        <bgColor indexed="64"/>
      </patternFill>
    </fill>
    <fill>
      <patternFill patternType="solid">
        <fgColor rgb="FF002060"/>
        <bgColor indexed="64"/>
      </patternFill>
    </fill>
    <fill>
      <patternFill patternType="solid">
        <fgColor theme="0"/>
        <bgColor indexed="64"/>
      </patternFill>
    </fill>
    <fill>
      <patternFill patternType="solid">
        <fgColor theme="4" tint="-0.249977111117893"/>
        <bgColor indexed="64"/>
      </patternFill>
    </fill>
    <fill>
      <patternFill patternType="solid">
        <fgColor rgb="FFFFFFCC"/>
        <bgColor indexed="64"/>
      </patternFill>
    </fill>
    <fill>
      <patternFill patternType="solid">
        <fgColor theme="3" tint="-0.499984740745262"/>
        <bgColor indexed="64"/>
      </patternFill>
    </fill>
    <fill>
      <patternFill patternType="solid">
        <fgColor rgb="FF00B050"/>
        <bgColor indexed="64"/>
      </patternFill>
    </fill>
    <fill>
      <patternFill patternType="solid">
        <fgColor rgb="FFFFFF00"/>
        <bgColor indexed="64"/>
      </patternFill>
    </fill>
    <fill>
      <patternFill patternType="solid">
        <fgColor theme="3" tint="-0.24994659260841701"/>
        <bgColor indexed="64"/>
      </patternFill>
    </fill>
    <fill>
      <patternFill patternType="solid">
        <fgColor theme="3" tint="0.39994506668294322"/>
        <bgColor indexed="64"/>
      </patternFill>
    </fill>
    <fill>
      <patternFill patternType="solid">
        <fgColor theme="3" tint="0.39994506668294322"/>
        <bgColor theme="4" tint="0.79998168889431442"/>
      </patternFill>
    </fill>
    <fill>
      <patternFill patternType="solid">
        <fgColor rgb="FFB0FAC6"/>
        <bgColor indexed="64"/>
      </patternFill>
    </fill>
  </fills>
  <borders count="9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medium">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style="thin">
        <color auto="1"/>
      </right>
      <top/>
      <bottom/>
      <diagonal/>
    </border>
    <border>
      <left/>
      <right style="thin">
        <color auto="1"/>
      </right>
      <top style="thin">
        <color auto="1"/>
      </top>
      <bottom/>
      <diagonal/>
    </border>
    <border>
      <left style="thin">
        <color auto="1"/>
      </left>
      <right/>
      <top/>
      <bottom style="thin">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thin">
        <color auto="1"/>
      </bottom>
      <diagonal/>
    </border>
    <border>
      <left style="thin">
        <color auto="1"/>
      </left>
      <right/>
      <top style="thin">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medium">
        <color auto="1"/>
      </left>
      <right/>
      <top style="thin">
        <color auto="1"/>
      </top>
      <bottom/>
      <diagonal/>
    </border>
    <border>
      <left/>
      <right style="thin">
        <color auto="1"/>
      </right>
      <top/>
      <bottom style="medium">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diagonal/>
    </border>
    <border>
      <left/>
      <right style="medium">
        <color auto="1"/>
      </right>
      <top style="thin">
        <color auto="1"/>
      </top>
      <bottom/>
      <diagonal/>
    </border>
    <border>
      <left/>
      <right style="medium">
        <color auto="1"/>
      </right>
      <top/>
      <bottom style="thin">
        <color auto="1"/>
      </bottom>
      <diagonal/>
    </border>
    <border>
      <left style="thin">
        <color auto="1"/>
      </left>
      <right/>
      <top style="thin">
        <color auto="1"/>
      </top>
      <bottom style="medium">
        <color auto="1"/>
      </bottom>
      <diagonal/>
    </border>
    <border>
      <left style="thin">
        <color auto="1"/>
      </left>
      <right style="thin">
        <color auto="1"/>
      </right>
      <top style="thin">
        <color theme="0"/>
      </top>
      <bottom style="thin">
        <color auto="1"/>
      </bottom>
      <diagonal/>
    </border>
    <border>
      <left/>
      <right/>
      <top style="thin">
        <color theme="0"/>
      </top>
      <bottom/>
      <diagonal/>
    </border>
    <border>
      <left style="medium">
        <color auto="1"/>
      </left>
      <right/>
      <top style="thin">
        <color theme="0"/>
      </top>
      <bottom style="thin">
        <color auto="1"/>
      </bottom>
      <diagonal/>
    </border>
    <border>
      <left style="medium">
        <color auto="1"/>
      </left>
      <right style="thin">
        <color auto="1"/>
      </right>
      <top style="thin">
        <color theme="0"/>
      </top>
      <bottom style="thin">
        <color auto="1"/>
      </bottom>
      <diagonal/>
    </border>
    <border>
      <left style="thin">
        <color theme="0"/>
      </left>
      <right style="thin">
        <color theme="0"/>
      </right>
      <top style="thin">
        <color theme="0"/>
      </top>
      <bottom style="thin">
        <color theme="0"/>
      </bottom>
      <diagonal/>
    </border>
    <border>
      <left style="thin">
        <color theme="0"/>
      </left>
      <right style="thin">
        <color auto="1"/>
      </right>
      <top style="thin">
        <color theme="0"/>
      </top>
      <bottom style="thin">
        <color auto="1"/>
      </bottom>
      <diagonal/>
    </border>
    <border>
      <left style="thin">
        <color auto="1"/>
      </left>
      <right style="thin">
        <color auto="1"/>
      </right>
      <top style="thin">
        <color theme="0"/>
      </top>
      <bottom style="thin">
        <color theme="0"/>
      </bottom>
      <diagonal/>
    </border>
    <border>
      <left/>
      <right/>
      <top/>
      <bottom style="thin">
        <color theme="0"/>
      </bottom>
      <diagonal/>
    </border>
    <border>
      <left/>
      <right style="medium">
        <color auto="1"/>
      </right>
      <top/>
      <bottom style="thin">
        <color theme="0"/>
      </bottom>
      <diagonal/>
    </border>
    <border>
      <left/>
      <right/>
      <top style="thin">
        <color theme="0"/>
      </top>
      <bottom style="thin">
        <color theme="0"/>
      </bottom>
      <diagonal/>
    </border>
    <border>
      <left/>
      <right style="medium">
        <color auto="1"/>
      </right>
      <top style="thin">
        <color theme="0"/>
      </top>
      <bottom style="thin">
        <color theme="0"/>
      </bottom>
      <diagonal/>
    </border>
    <border>
      <left style="thin">
        <color theme="0"/>
      </left>
      <right/>
      <top style="thin">
        <color auto="1"/>
      </top>
      <bottom style="thin">
        <color auto="1"/>
      </bottom>
      <diagonal/>
    </border>
    <border>
      <left style="thin">
        <color theme="0"/>
      </left>
      <right style="thin">
        <color auto="1"/>
      </right>
      <top style="thin">
        <color auto="1"/>
      </top>
      <bottom style="thin">
        <color auto="1"/>
      </bottom>
      <diagonal/>
    </border>
    <border>
      <left style="medium">
        <color auto="1"/>
      </left>
      <right style="thin">
        <color auto="1"/>
      </right>
      <top style="thin">
        <color theme="0"/>
      </top>
      <bottom/>
      <diagonal/>
    </border>
    <border>
      <left style="thin">
        <color auto="1"/>
      </left>
      <right style="thin">
        <color auto="1"/>
      </right>
      <top style="thin">
        <color theme="0"/>
      </top>
      <bottom/>
      <diagonal/>
    </border>
    <border>
      <left style="thin">
        <color auto="1"/>
      </left>
      <right style="thin">
        <color auto="1"/>
      </right>
      <top/>
      <bottom style="thin">
        <color theme="0"/>
      </bottom>
      <diagonal/>
    </border>
    <border>
      <left style="medium">
        <color auto="1"/>
      </left>
      <right style="thin">
        <color theme="0"/>
      </right>
      <top style="thin">
        <color auto="1"/>
      </top>
      <bottom style="thin">
        <color auto="1"/>
      </bottom>
      <diagonal/>
    </border>
    <border>
      <left style="medium">
        <color auto="1"/>
      </left>
      <right/>
      <top style="thin">
        <color auto="1"/>
      </top>
      <bottom style="thin">
        <color theme="0"/>
      </bottom>
      <diagonal/>
    </border>
    <border>
      <left style="medium">
        <color auto="1"/>
      </left>
      <right style="thin">
        <color auto="1"/>
      </right>
      <top/>
      <bottom style="thin">
        <color theme="0"/>
      </bottom>
      <diagonal/>
    </border>
    <border>
      <left style="medium">
        <color auto="1"/>
      </left>
      <right style="thin">
        <color theme="0"/>
      </right>
      <top style="thin">
        <color auto="1"/>
      </top>
      <bottom/>
      <diagonal/>
    </border>
    <border>
      <left style="medium">
        <color auto="1"/>
      </left>
      <right style="thin">
        <color theme="0"/>
      </right>
      <top/>
      <bottom style="thin">
        <color auto="1"/>
      </bottom>
      <diagonal/>
    </border>
    <border>
      <left style="medium">
        <color auto="1"/>
      </left>
      <right/>
      <top/>
      <bottom style="thin">
        <color theme="0"/>
      </bottom>
      <diagonal/>
    </border>
    <border>
      <left/>
      <right style="thin">
        <color auto="1"/>
      </right>
      <top/>
      <bottom style="thin">
        <color theme="0"/>
      </bottom>
      <diagonal/>
    </border>
    <border>
      <left/>
      <right/>
      <top style="thin">
        <color auto="1"/>
      </top>
      <bottom style="thin">
        <color theme="0"/>
      </bottom>
      <diagonal/>
    </border>
    <border>
      <left/>
      <right style="thin">
        <color auto="1"/>
      </right>
      <top style="thin">
        <color auto="1"/>
      </top>
      <bottom style="thin">
        <color theme="0"/>
      </bottom>
      <diagonal/>
    </border>
    <border>
      <left/>
      <right style="medium">
        <color theme="3" tint="-0.249977111117893"/>
      </right>
      <top/>
      <bottom style="medium">
        <color auto="1"/>
      </bottom>
      <diagonal/>
    </border>
    <border>
      <left/>
      <right/>
      <top style="thin">
        <color auto="1"/>
      </top>
      <bottom style="double">
        <color auto="1"/>
      </bottom>
      <diagonal/>
    </border>
    <border>
      <left style="thin">
        <color auto="1"/>
      </left>
      <right style="medium">
        <color auto="1"/>
      </right>
      <top/>
      <bottom style="thin">
        <color auto="1"/>
      </bottom>
      <diagonal/>
    </border>
    <border>
      <left/>
      <right/>
      <top style="thin">
        <color theme="4" tint="0.39997558519241921"/>
      </top>
      <bottom style="thin">
        <color theme="4" tint="0.39997558519241921"/>
      </bottom>
      <diagonal/>
    </border>
    <border>
      <left style="medium">
        <color auto="1"/>
      </left>
      <right style="medium">
        <color auto="1"/>
      </right>
      <top/>
      <bottom style="medium">
        <color auto="1"/>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auto="1"/>
      </left>
      <right/>
      <top style="thick">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theme="0"/>
      </left>
      <right/>
      <top/>
      <bottom style="thin">
        <color auto="1"/>
      </bottom>
      <diagonal/>
    </border>
  </borders>
  <cellStyleXfs count="83">
    <xf numFmtId="0" fontId="0" fillId="0" borderId="0"/>
    <xf numFmtId="44" fontId="9" fillId="0" borderId="0" applyFont="0" applyFill="0" applyBorder="0" applyAlignment="0" applyProtection="0"/>
    <xf numFmtId="0" fontId="15" fillId="0" borderId="0" applyNumberFormat="0" applyFill="0" applyBorder="0" applyAlignment="0" applyProtection="0">
      <alignment vertical="top"/>
      <protection locked="0"/>
    </xf>
    <xf numFmtId="0" fontId="58" fillId="0" borderId="0"/>
    <xf numFmtId="0" fontId="58" fillId="0" borderId="0"/>
    <xf numFmtId="0" fontId="58" fillId="0" borderId="0"/>
    <xf numFmtId="0" fontId="15" fillId="0" borderId="0" applyNumberFormat="0" applyFill="0" applyBorder="0" applyAlignment="0" applyProtection="0">
      <alignment vertical="top"/>
      <protection locked="0"/>
    </xf>
    <xf numFmtId="44" fontId="9"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160" fillId="0" borderId="0" applyNumberFormat="0" applyFill="0" applyBorder="0" applyAlignment="0" applyProtection="0"/>
  </cellStyleXfs>
  <cellXfs count="1948">
    <xf numFmtId="0" fontId="0" fillId="0" borderId="0" xfId="0"/>
    <xf numFmtId="0" fontId="0" fillId="0" borderId="0" xfId="0" applyAlignment="1"/>
    <xf numFmtId="0" fontId="0" fillId="0" borderId="0" xfId="0" applyFill="1" applyBorder="1"/>
    <xf numFmtId="0" fontId="0" fillId="0" borderId="0" xfId="0" applyNumberFormat="1" applyAlignment="1">
      <alignment horizontal="center"/>
    </xf>
    <xf numFmtId="0" fontId="0" fillId="0" borderId="0" xfId="0" applyFont="1"/>
    <xf numFmtId="0" fontId="0" fillId="0" borderId="0" xfId="0" applyBorder="1" applyAlignment="1">
      <alignment horizontal="right"/>
    </xf>
    <xf numFmtId="0" fontId="0" fillId="0" borderId="0" xfId="0" applyFill="1" applyBorder="1" applyAlignment="1">
      <alignment horizontal="center"/>
    </xf>
    <xf numFmtId="0" fontId="16" fillId="0" borderId="0" xfId="2" applyFont="1" applyFill="1" applyAlignment="1" applyProtection="1"/>
    <xf numFmtId="0" fontId="12" fillId="0" borderId="0" xfId="0" applyFont="1" applyFill="1"/>
    <xf numFmtId="0" fontId="17" fillId="0" borderId="1" xfId="0" applyNumberFormat="1" applyFont="1" applyFill="1" applyBorder="1" applyAlignment="1">
      <alignment horizontal="center" vertical="center"/>
    </xf>
    <xf numFmtId="0" fontId="63" fillId="0" borderId="0" xfId="0" applyFont="1" applyAlignment="1" applyProtection="1">
      <alignment horizontal="left"/>
    </xf>
    <xf numFmtId="0" fontId="64" fillId="0" borderId="0" xfId="0" applyFont="1" applyFill="1" applyBorder="1" applyAlignment="1">
      <alignment horizontal="center"/>
    </xf>
    <xf numFmtId="49" fontId="0" fillId="0" borderId="0" xfId="0" applyNumberFormat="1" applyFont="1" applyAlignment="1" applyProtection="1">
      <alignment horizontal="right"/>
    </xf>
    <xf numFmtId="0" fontId="63" fillId="0" borderId="0" xfId="0" applyFont="1" applyFill="1" applyBorder="1"/>
    <xf numFmtId="0" fontId="63" fillId="0" borderId="0" xfId="0" applyFont="1"/>
    <xf numFmtId="0" fontId="63" fillId="0" borderId="0" xfId="0" applyFont="1" applyAlignment="1">
      <alignment horizontal="center"/>
    </xf>
    <xf numFmtId="0" fontId="63" fillId="0" borderId="0" xfId="0" applyFont="1" applyProtection="1">
      <protection locked="0"/>
    </xf>
    <xf numFmtId="0" fontId="63" fillId="0" borderId="0" xfId="0" applyFont="1" applyAlignment="1" applyProtection="1">
      <alignment horizontal="center"/>
      <protection locked="0"/>
    </xf>
    <xf numFmtId="0" fontId="63" fillId="0" borderId="0" xfId="0" applyFont="1" applyProtection="1"/>
    <xf numFmtId="0" fontId="63" fillId="0" borderId="0" xfId="0" applyFont="1" applyFill="1" applyProtection="1"/>
    <xf numFmtId="0" fontId="63" fillId="0" borderId="0" xfId="0" applyFont="1" applyAlignment="1"/>
    <xf numFmtId="0" fontId="63" fillId="0" borderId="0" xfId="0" applyFont="1" applyFill="1" applyBorder="1" applyAlignment="1" applyProtection="1">
      <protection locked="0"/>
    </xf>
    <xf numFmtId="0" fontId="63" fillId="0" borderId="0" xfId="0" applyFont="1" applyFill="1" applyBorder="1" applyAlignment="1" applyProtection="1">
      <alignment horizontal="center"/>
      <protection locked="0"/>
    </xf>
    <xf numFmtId="0" fontId="63" fillId="0" borderId="0" xfId="0" applyFont="1" applyFill="1" applyBorder="1" applyProtection="1"/>
    <xf numFmtId="0" fontId="63" fillId="0" borderId="0" xfId="0" applyFont="1" applyFill="1" applyBorder="1" applyAlignment="1" applyProtection="1"/>
    <xf numFmtId="0" fontId="63" fillId="0" borderId="0" xfId="0" applyFont="1" applyBorder="1" applyAlignment="1" applyProtection="1">
      <alignment horizontal="left"/>
    </xf>
    <xf numFmtId="0" fontId="63" fillId="0" borderId="0" xfId="0" applyNumberFormat="1" applyFont="1" applyFill="1" applyBorder="1" applyAlignment="1"/>
    <xf numFmtId="0" fontId="63" fillId="0" borderId="0" xfId="0" applyFont="1" applyFill="1" applyBorder="1" applyAlignment="1"/>
    <xf numFmtId="0" fontId="63" fillId="0" borderId="0" xfId="0" applyFont="1" applyAlignment="1" applyProtection="1"/>
    <xf numFmtId="0" fontId="65" fillId="0" borderId="0" xfId="0" applyFont="1" applyAlignment="1" applyProtection="1">
      <alignment vertical="center"/>
    </xf>
    <xf numFmtId="0" fontId="0" fillId="0" borderId="0" xfId="0" applyFont="1" applyAlignment="1"/>
    <xf numFmtId="0" fontId="63" fillId="0" borderId="0" xfId="0" applyFont="1" applyAlignment="1">
      <alignment horizontal="left"/>
    </xf>
    <xf numFmtId="0" fontId="65" fillId="0" borderId="0" xfId="0" applyFont="1" applyAlignment="1" applyProtection="1">
      <alignment horizontal="left"/>
    </xf>
    <xf numFmtId="0" fontId="66" fillId="0" borderId="0" xfId="0" applyFont="1" applyAlignment="1">
      <alignment horizontal="center" wrapText="1"/>
    </xf>
    <xf numFmtId="0" fontId="66" fillId="0" borderId="0" xfId="0" applyFont="1"/>
    <xf numFmtId="0" fontId="66" fillId="0" borderId="0" xfId="0" applyFont="1" applyAlignment="1">
      <alignment horizontal="center"/>
    </xf>
    <xf numFmtId="0" fontId="67" fillId="0" borderId="0" xfId="0" applyFont="1" applyFill="1" applyAlignment="1">
      <alignment horizontal="center"/>
    </xf>
    <xf numFmtId="0" fontId="68" fillId="0" borderId="0" xfId="0" applyFont="1" applyFill="1" applyAlignment="1">
      <alignment horizontal="center"/>
    </xf>
    <xf numFmtId="0" fontId="0" fillId="0" borderId="0" xfId="0" applyNumberFormat="1" applyFont="1" applyAlignment="1">
      <alignment horizontal="center"/>
    </xf>
    <xf numFmtId="0" fontId="69" fillId="0" borderId="0" xfId="0" applyNumberFormat="1" applyFont="1" applyAlignment="1">
      <alignment horizontal="center"/>
    </xf>
    <xf numFmtId="0" fontId="69" fillId="0" borderId="0" xfId="0" applyFont="1" applyAlignment="1"/>
    <xf numFmtId="0" fontId="69" fillId="0" borderId="0" xfId="0" applyFont="1"/>
    <xf numFmtId="0" fontId="69" fillId="0" borderId="0" xfId="0" applyFont="1" applyAlignment="1">
      <alignment horizontal="center"/>
    </xf>
    <xf numFmtId="0" fontId="0" fillId="0" borderId="0" xfId="0" applyFont="1" applyAlignment="1">
      <alignment horizontal="center"/>
    </xf>
    <xf numFmtId="0" fontId="0" fillId="0" borderId="0" xfId="0" applyFont="1" applyAlignment="1">
      <alignment horizontal="center"/>
    </xf>
    <xf numFmtId="0" fontId="0" fillId="0" borderId="0" xfId="0" applyFont="1" applyFill="1" applyBorder="1" applyAlignment="1">
      <alignment horizontal="right"/>
    </xf>
    <xf numFmtId="0" fontId="0" fillId="2" borderId="1" xfId="0" applyFont="1" applyFill="1" applyBorder="1" applyAlignment="1">
      <alignment horizontal="center"/>
    </xf>
    <xf numFmtId="0" fontId="0" fillId="0" borderId="0" xfId="0" applyFont="1" applyFill="1" applyBorder="1"/>
    <xf numFmtId="0" fontId="70" fillId="0" borderId="0" xfId="0" applyFont="1" applyBorder="1" applyAlignment="1"/>
    <xf numFmtId="0" fontId="71" fillId="0" borderId="0" xfId="0" applyFont="1" applyBorder="1" applyAlignment="1"/>
    <xf numFmtId="0" fontId="72" fillId="0" borderId="0" xfId="0" applyFont="1"/>
    <xf numFmtId="0" fontId="71" fillId="0" borderId="0" xfId="0" applyFont="1" applyBorder="1" applyAlignment="1">
      <alignment wrapText="1"/>
    </xf>
    <xf numFmtId="0" fontId="72" fillId="0" borderId="0" xfId="0" applyFont="1" applyBorder="1"/>
    <xf numFmtId="0" fontId="70" fillId="0" borderId="0" xfId="0" applyFont="1" applyFill="1" applyBorder="1" applyAlignment="1">
      <alignment horizontal="left"/>
    </xf>
    <xf numFmtId="0" fontId="73" fillId="0" borderId="0" xfId="0" applyFont="1" applyFill="1" applyBorder="1" applyAlignment="1">
      <alignment horizontal="left"/>
    </xf>
    <xf numFmtId="0" fontId="66" fillId="0" borderId="0" xfId="0" applyFont="1" applyFill="1" applyBorder="1" applyAlignment="1">
      <alignment horizontal="left"/>
    </xf>
    <xf numFmtId="0" fontId="66" fillId="0" borderId="0" xfId="0" applyFont="1" applyFill="1" applyBorder="1" applyAlignment="1">
      <alignment horizontal="center"/>
    </xf>
    <xf numFmtId="49" fontId="0" fillId="0" borderId="0" xfId="0" applyNumberFormat="1" applyFont="1" applyAlignment="1">
      <alignment horizontal="center"/>
    </xf>
    <xf numFmtId="0" fontId="74" fillId="0" borderId="0" xfId="0" applyFont="1" applyAlignment="1"/>
    <xf numFmtId="0" fontId="0" fillId="0" borderId="0" xfId="0" applyFont="1" applyFill="1" applyBorder="1" applyAlignment="1" applyProtection="1">
      <alignment horizontal="center"/>
    </xf>
    <xf numFmtId="0" fontId="68" fillId="0" borderId="0" xfId="0" applyFont="1" applyAlignment="1">
      <alignment horizontal="left"/>
    </xf>
    <xf numFmtId="0" fontId="75" fillId="0" borderId="0" xfId="0" applyFont="1" applyAlignment="1"/>
    <xf numFmtId="0" fontId="0" fillId="0" borderId="0" xfId="0" applyNumberFormat="1" applyFont="1" applyAlignment="1">
      <alignment horizontal="left"/>
    </xf>
    <xf numFmtId="0" fontId="0" fillId="0" borderId="0" xfId="0" applyFont="1" applyFill="1" applyBorder="1" applyAlignment="1" applyProtection="1">
      <protection locked="0"/>
    </xf>
    <xf numFmtId="0" fontId="76" fillId="0" borderId="0" xfId="0" applyFont="1" applyFill="1" applyBorder="1" applyAlignment="1">
      <alignment horizontal="center"/>
    </xf>
    <xf numFmtId="0" fontId="0" fillId="0" borderId="0" xfId="0" applyFont="1" applyFill="1"/>
    <xf numFmtId="0" fontId="77" fillId="0" borderId="0" xfId="0" applyFont="1" applyAlignment="1"/>
    <xf numFmtId="0" fontId="78" fillId="0" borderId="0" xfId="0" applyFont="1" applyBorder="1" applyAlignment="1">
      <alignment horizontal="left"/>
    </xf>
    <xf numFmtId="0" fontId="63" fillId="0" borderId="0" xfId="0" applyFont="1" applyBorder="1" applyAlignment="1"/>
    <xf numFmtId="0" fontId="79" fillId="0" borderId="0" xfId="0" applyFont="1" applyFill="1" applyBorder="1" applyAlignment="1">
      <alignment horizontal="center"/>
    </xf>
    <xf numFmtId="0" fontId="71" fillId="0" borderId="0" xfId="0" applyFont="1" applyFill="1" applyBorder="1" applyAlignment="1"/>
    <xf numFmtId="0" fontId="71" fillId="0" borderId="0" xfId="0" applyFont="1" applyFill="1" applyBorder="1" applyAlignment="1">
      <alignment horizontal="center"/>
    </xf>
    <xf numFmtId="0" fontId="0" fillId="0" borderId="0" xfId="0" applyFont="1" applyFill="1" applyBorder="1" applyAlignment="1"/>
    <xf numFmtId="0" fontId="80" fillId="0" borderId="0" xfId="0" applyFont="1" applyAlignment="1">
      <alignment horizontal="center"/>
    </xf>
    <xf numFmtId="0" fontId="80" fillId="0" borderId="0" xfId="0" applyFont="1"/>
    <xf numFmtId="0" fontId="81" fillId="0" borderId="0" xfId="0" applyFont="1" applyFill="1" applyBorder="1" applyAlignment="1">
      <alignment horizontal="center"/>
    </xf>
    <xf numFmtId="0" fontId="68" fillId="0" borderId="0" xfId="0" applyFont="1" applyBorder="1" applyAlignment="1"/>
    <xf numFmtId="0" fontId="0" fillId="0" borderId="0" xfId="0" applyFont="1" applyAlignment="1"/>
    <xf numFmtId="0" fontId="70" fillId="0" borderId="0" xfId="0" applyFont="1" applyBorder="1" applyAlignment="1">
      <alignment horizontal="left"/>
    </xf>
    <xf numFmtId="0" fontId="71" fillId="0" borderId="0" xfId="0" applyFont="1" applyFill="1" applyBorder="1" applyAlignment="1" applyProtection="1">
      <alignment horizontal="center" wrapText="1"/>
    </xf>
    <xf numFmtId="0" fontId="71" fillId="0" borderId="0" xfId="0" applyFont="1" applyFill="1" applyBorder="1" applyAlignment="1" applyProtection="1">
      <alignment horizontal="center"/>
    </xf>
    <xf numFmtId="0" fontId="71" fillId="0" borderId="0" xfId="0" applyFont="1" applyFill="1" applyBorder="1" applyAlignment="1" applyProtection="1">
      <alignment horizontal="center" vertical="center" wrapText="1"/>
    </xf>
    <xf numFmtId="0" fontId="71" fillId="0" borderId="0" xfId="0" applyFont="1" applyBorder="1" applyAlignment="1">
      <alignment vertical="center"/>
    </xf>
    <xf numFmtId="0" fontId="71" fillId="0" borderId="0" xfId="0" applyFont="1" applyAlignment="1"/>
    <xf numFmtId="0" fontId="0" fillId="0" borderId="1" xfId="0" applyFont="1" applyFill="1" applyBorder="1" applyAlignment="1" applyProtection="1">
      <alignment horizontal="center"/>
    </xf>
    <xf numFmtId="0" fontId="79" fillId="0" borderId="1" xfId="0" applyFont="1" applyFill="1" applyBorder="1" applyAlignment="1" applyProtection="1">
      <alignment horizontal="center"/>
    </xf>
    <xf numFmtId="0" fontId="0" fillId="0" borderId="2" xfId="0" applyFont="1" applyFill="1" applyBorder="1" applyAlignment="1" applyProtection="1">
      <alignment horizontal="center"/>
    </xf>
    <xf numFmtId="0" fontId="0" fillId="0" borderId="3" xfId="0" applyFont="1" applyFill="1" applyBorder="1" applyAlignment="1" applyProtection="1">
      <alignment horizontal="center"/>
    </xf>
    <xf numFmtId="0" fontId="70" fillId="0" borderId="0" xfId="0" applyFont="1" applyFill="1" applyBorder="1" applyAlignment="1" applyProtection="1">
      <alignment horizontal="left"/>
    </xf>
    <xf numFmtId="0" fontId="73" fillId="0" borderId="0" xfId="0" applyFont="1" applyFill="1" applyBorder="1" applyAlignment="1" applyProtection="1">
      <alignment horizontal="left"/>
    </xf>
    <xf numFmtId="0" fontId="66" fillId="0" borderId="0" xfId="0" applyFont="1" applyFill="1" applyBorder="1" applyAlignment="1" applyProtection="1">
      <alignment horizontal="left"/>
    </xf>
    <xf numFmtId="0" fontId="66" fillId="0" borderId="0" xfId="0" applyFont="1" applyFill="1" applyBorder="1" applyAlignment="1" applyProtection="1">
      <alignment horizontal="center"/>
    </xf>
    <xf numFmtId="0" fontId="76" fillId="0" borderId="0" xfId="0" applyFont="1" applyFill="1" applyBorder="1" applyAlignment="1" applyProtection="1">
      <alignment horizontal="center"/>
    </xf>
    <xf numFmtId="0" fontId="79" fillId="0" borderId="0" xfId="0" applyFont="1" applyFill="1" applyBorder="1" applyAlignment="1" applyProtection="1">
      <alignment horizontal="center"/>
    </xf>
    <xf numFmtId="0" fontId="0" fillId="0" borderId="0" xfId="0" applyFont="1" applyProtection="1"/>
    <xf numFmtId="0" fontId="71" fillId="0" borderId="0" xfId="0" applyFont="1" applyFill="1" applyBorder="1" applyAlignment="1" applyProtection="1">
      <alignment horizontal="left"/>
    </xf>
    <xf numFmtId="0" fontId="82" fillId="0" borderId="0" xfId="0" applyFont="1" applyFill="1" applyProtection="1"/>
    <xf numFmtId="0" fontId="0" fillId="0" borderId="0" xfId="0" applyFont="1" applyFill="1" applyProtection="1"/>
    <xf numFmtId="0" fontId="68" fillId="0" borderId="0" xfId="0" applyFont="1" applyFill="1" applyAlignment="1" applyProtection="1">
      <alignment horizontal="left"/>
    </xf>
    <xf numFmtId="0" fontId="79" fillId="0" borderId="0" xfId="0" applyNumberFormat="1" applyFont="1" applyFill="1" applyAlignment="1" applyProtection="1">
      <alignment horizontal="center"/>
    </xf>
    <xf numFmtId="0" fontId="79" fillId="0" borderId="0" xfId="0" applyFont="1" applyFill="1" applyProtection="1"/>
    <xf numFmtId="0" fontId="63" fillId="0" borderId="1" xfId="0" applyFont="1" applyFill="1" applyBorder="1" applyAlignment="1" applyProtection="1">
      <alignment horizontal="center"/>
    </xf>
    <xf numFmtId="49" fontId="63" fillId="0" borderId="0" xfId="0" applyNumberFormat="1" applyFont="1" applyFill="1" applyAlignment="1" applyProtection="1">
      <alignment horizontal="center"/>
    </xf>
    <xf numFmtId="0" fontId="63" fillId="0" borderId="0" xfId="0" applyFont="1" applyFill="1" applyAlignment="1" applyProtection="1"/>
    <xf numFmtId="0" fontId="63" fillId="0" borderId="0" xfId="0" applyNumberFormat="1" applyFont="1" applyFill="1" applyAlignment="1" applyProtection="1">
      <alignment horizontal="center"/>
    </xf>
    <xf numFmtId="0" fontId="63" fillId="0" borderId="2" xfId="0" applyFont="1" applyFill="1" applyBorder="1" applyAlignment="1" applyProtection="1">
      <alignment horizontal="center"/>
    </xf>
    <xf numFmtId="0" fontId="78" fillId="0" borderId="0" xfId="0" applyFont="1" applyFill="1" applyProtection="1"/>
    <xf numFmtId="0" fontId="63" fillId="0" borderId="4" xfId="0" applyFont="1" applyFill="1" applyBorder="1" applyAlignment="1" applyProtection="1">
      <alignment horizontal="center"/>
    </xf>
    <xf numFmtId="0" fontId="63" fillId="0" borderId="3" xfId="0" applyFont="1" applyFill="1" applyBorder="1" applyAlignment="1" applyProtection="1">
      <alignment horizontal="center"/>
    </xf>
    <xf numFmtId="0" fontId="77" fillId="0" borderId="0" xfId="0" applyFont="1" applyFill="1" applyAlignment="1" applyProtection="1"/>
    <xf numFmtId="0" fontId="77" fillId="0" borderId="0" xfId="0" applyFont="1" applyFill="1" applyAlignment="1" applyProtection="1">
      <alignment horizontal="left"/>
    </xf>
    <xf numFmtId="0" fontId="63" fillId="0" borderId="0" xfId="0" applyFont="1" applyFill="1" applyAlignment="1" applyProtection="1">
      <alignment horizontal="left"/>
    </xf>
    <xf numFmtId="0" fontId="63" fillId="0" borderId="1" xfId="0" applyFont="1" applyFill="1" applyBorder="1" applyAlignment="1" applyProtection="1">
      <alignment horizontal="center" vertical="center"/>
    </xf>
    <xf numFmtId="0" fontId="63" fillId="0" borderId="0" xfId="0" applyFont="1" applyFill="1" applyBorder="1" applyAlignment="1" applyProtection="1">
      <alignment horizontal="center"/>
    </xf>
    <xf numFmtId="3" fontId="78" fillId="0" borderId="1" xfId="0" applyNumberFormat="1" applyFont="1" applyFill="1" applyBorder="1" applyAlignment="1" applyProtection="1">
      <alignment horizontal="center"/>
    </xf>
    <xf numFmtId="0" fontId="78" fillId="0" borderId="5" xfId="0" applyFont="1" applyFill="1" applyBorder="1" applyAlignment="1" applyProtection="1">
      <alignment horizontal="left"/>
    </xf>
    <xf numFmtId="0" fontId="78" fillId="0" borderId="0" xfId="0" applyFont="1" applyFill="1" applyBorder="1" applyAlignment="1" applyProtection="1">
      <alignment horizontal="left"/>
    </xf>
    <xf numFmtId="0" fontId="63" fillId="0" borderId="0" xfId="0" applyFont="1" applyFill="1" applyBorder="1" applyAlignment="1" applyProtection="1">
      <alignment horizontal="left"/>
    </xf>
    <xf numFmtId="0" fontId="78" fillId="0" borderId="1" xfId="0" applyFont="1" applyFill="1" applyBorder="1" applyAlignment="1" applyProtection="1">
      <alignment horizontal="center"/>
    </xf>
    <xf numFmtId="0" fontId="78" fillId="0" borderId="0" xfId="0" applyNumberFormat="1" applyFont="1" applyFill="1" applyAlignment="1" applyProtection="1">
      <alignment horizontal="center"/>
    </xf>
    <xf numFmtId="0" fontId="78" fillId="0" borderId="5" xfId="0" applyNumberFormat="1" applyFont="1" applyFill="1" applyBorder="1" applyAlignment="1" applyProtection="1">
      <alignment horizontal="left"/>
    </xf>
    <xf numFmtId="0" fontId="78" fillId="0" borderId="0" xfId="0" applyNumberFormat="1" applyFont="1" applyFill="1" applyAlignment="1" applyProtection="1">
      <alignment horizontal="left"/>
    </xf>
    <xf numFmtId="0" fontId="78" fillId="0" borderId="0" xfId="0" applyFont="1" applyFill="1" applyBorder="1" applyProtection="1"/>
    <xf numFmtId="0" fontId="78" fillId="0" borderId="0" xfId="0" applyFont="1" applyFill="1" applyBorder="1" applyAlignment="1" applyProtection="1">
      <alignment horizontal="center"/>
    </xf>
    <xf numFmtId="49" fontId="0" fillId="0" borderId="0" xfId="0" applyNumberFormat="1" applyFont="1" applyAlignment="1" applyProtection="1">
      <alignment horizontal="center"/>
    </xf>
    <xf numFmtId="0" fontId="0" fillId="0" borderId="0" xfId="0" applyFont="1" applyAlignment="1" applyProtection="1"/>
    <xf numFmtId="0" fontId="0" fillId="0" borderId="0" xfId="0" applyNumberFormat="1" applyFont="1" applyAlignment="1" applyProtection="1">
      <alignment horizontal="center"/>
    </xf>
    <xf numFmtId="0" fontId="0" fillId="0" borderId="0" xfId="0" applyFont="1" applyAlignment="1" applyProtection="1">
      <alignment horizontal="center"/>
    </xf>
    <xf numFmtId="0" fontId="0" fillId="0" borderId="0" xfId="0" applyNumberFormat="1" applyFont="1" applyAlignment="1" applyProtection="1">
      <alignment horizontal="left"/>
    </xf>
    <xf numFmtId="0" fontId="0" fillId="0" borderId="0" xfId="0" applyFont="1" applyFill="1" applyBorder="1" applyProtection="1"/>
    <xf numFmtId="0" fontId="0" fillId="0" borderId="0" xfId="0" applyFont="1" applyFill="1" applyBorder="1" applyAlignment="1" applyProtection="1"/>
    <xf numFmtId="0" fontId="66" fillId="0" borderId="0" xfId="0" applyFont="1" applyAlignment="1">
      <alignment horizontal="left"/>
    </xf>
    <xf numFmtId="0" fontId="0" fillId="0" borderId="2" xfId="0" applyFont="1" applyFill="1" applyBorder="1" applyAlignment="1" applyProtection="1">
      <alignment horizontal="center" vertical="center"/>
    </xf>
    <xf numFmtId="0" fontId="0" fillId="0" borderId="0" xfId="0" applyNumberFormat="1" applyFont="1" applyAlignment="1" applyProtection="1">
      <alignment horizontal="center" vertical="center"/>
    </xf>
    <xf numFmtId="0" fontId="75" fillId="0" borderId="0" xfId="0" applyFont="1" applyAlignment="1" applyProtection="1">
      <alignment horizontal="left"/>
    </xf>
    <xf numFmtId="0" fontId="79" fillId="0" borderId="0" xfId="0" applyFont="1" applyAlignment="1">
      <alignment horizontal="left"/>
    </xf>
    <xf numFmtId="0" fontId="0" fillId="0" borderId="0" xfId="0" applyFont="1" applyAlignment="1" applyProtection="1">
      <alignment horizontal="left"/>
    </xf>
    <xf numFmtId="0" fontId="68" fillId="0" borderId="0" xfId="0" applyFont="1" applyAlignment="1" applyProtection="1">
      <alignment horizontal="left"/>
    </xf>
    <xf numFmtId="1" fontId="0" fillId="0" borderId="1" xfId="0" applyNumberFormat="1" applyFont="1" applyFill="1" applyBorder="1" applyAlignment="1" applyProtection="1">
      <alignment horizontal="center"/>
    </xf>
    <xf numFmtId="0" fontId="79" fillId="0" borderId="0" xfId="0" applyFont="1" applyProtection="1"/>
    <xf numFmtId="0" fontId="0" fillId="0" borderId="0" xfId="0" applyNumberFormat="1" applyFont="1" applyFill="1" applyBorder="1" applyAlignment="1" applyProtection="1">
      <alignment horizontal="left"/>
    </xf>
    <xf numFmtId="0" fontId="81" fillId="0" borderId="0" xfId="0" applyFont="1" applyFill="1" applyBorder="1" applyAlignment="1" applyProtection="1">
      <alignment horizontal="center"/>
    </xf>
    <xf numFmtId="0" fontId="0" fillId="0" borderId="6" xfId="0" applyFont="1" applyFill="1" applyBorder="1" applyAlignment="1" applyProtection="1">
      <alignment horizontal="center"/>
    </xf>
    <xf numFmtId="0" fontId="68" fillId="0" borderId="0" xfId="0" applyFont="1" applyAlignment="1" applyProtection="1"/>
    <xf numFmtId="0" fontId="0" fillId="0" borderId="0" xfId="0" applyFont="1" applyBorder="1" applyAlignment="1" applyProtection="1">
      <alignment wrapText="1"/>
    </xf>
    <xf numFmtId="0" fontId="78" fillId="0" borderId="0" xfId="0" applyFont="1" applyProtection="1"/>
    <xf numFmtId="0" fontId="68" fillId="0" borderId="0" xfId="0" applyFont="1" applyProtection="1"/>
    <xf numFmtId="0" fontId="0" fillId="0" borderId="5" xfId="0" applyNumberFormat="1" applyFont="1" applyBorder="1" applyAlignment="1" applyProtection="1"/>
    <xf numFmtId="0" fontId="0" fillId="0" borderId="0" xfId="0" applyNumberFormat="1" applyFont="1" applyBorder="1" applyAlignment="1" applyProtection="1"/>
    <xf numFmtId="0" fontId="0" fillId="0" borderId="5" xfId="0" applyFont="1" applyBorder="1" applyAlignment="1" applyProtection="1"/>
    <xf numFmtId="0" fontId="0" fillId="0" borderId="0" xfId="0" applyFont="1" applyBorder="1" applyAlignment="1" applyProtection="1"/>
    <xf numFmtId="0" fontId="0" fillId="0" borderId="0" xfId="0" applyFont="1" applyBorder="1" applyAlignment="1" applyProtection="1">
      <alignment horizontal="left"/>
    </xf>
    <xf numFmtId="0" fontId="79" fillId="0" borderId="5" xfId="0" applyFont="1" applyBorder="1" applyAlignment="1" applyProtection="1"/>
    <xf numFmtId="0" fontId="79" fillId="0" borderId="0" xfId="0" applyFont="1" applyBorder="1" applyAlignment="1" applyProtection="1"/>
    <xf numFmtId="0" fontId="79" fillId="0" borderId="0" xfId="0" applyFont="1" applyBorder="1" applyAlignment="1" applyProtection="1">
      <alignment horizontal="left"/>
    </xf>
    <xf numFmtId="0" fontId="75" fillId="0" borderId="0" xfId="0" applyFont="1" applyBorder="1" applyAlignment="1" applyProtection="1">
      <alignment horizontal="left"/>
    </xf>
    <xf numFmtId="0" fontId="75" fillId="0" borderId="0" xfId="0" applyFont="1" applyProtection="1"/>
    <xf numFmtId="0" fontId="83" fillId="0" borderId="0" xfId="0" applyNumberFormat="1" applyFont="1" applyAlignment="1" applyProtection="1">
      <alignment horizontal="center"/>
    </xf>
    <xf numFmtId="0" fontId="77" fillId="0" borderId="5" xfId="0" applyFont="1" applyBorder="1" applyAlignment="1" applyProtection="1"/>
    <xf numFmtId="0" fontId="77" fillId="0" borderId="0" xfId="0" applyFont="1" applyAlignment="1" applyProtection="1"/>
    <xf numFmtId="0" fontId="77" fillId="0" borderId="0" xfId="0" applyFont="1" applyBorder="1" applyAlignment="1" applyProtection="1"/>
    <xf numFmtId="0" fontId="77" fillId="0" borderId="0" xfId="0" applyFont="1" applyBorder="1" applyAlignment="1" applyProtection="1">
      <alignment horizontal="left"/>
    </xf>
    <xf numFmtId="0" fontId="80" fillId="0" borderId="0" xfId="0" applyFont="1" applyAlignment="1" applyProtection="1">
      <alignment horizontal="center"/>
    </xf>
    <xf numFmtId="0" fontId="80" fillId="0" borderId="0" xfId="0" applyFont="1" applyProtection="1"/>
    <xf numFmtId="0" fontId="79" fillId="0" borderId="0" xfId="0" applyFont="1" applyAlignment="1"/>
    <xf numFmtId="49" fontId="0" fillId="0" borderId="0" xfId="0" applyNumberFormat="1" applyFont="1" applyAlignment="1"/>
    <xf numFmtId="0" fontId="0" fillId="0" borderId="0" xfId="0" applyFont="1" applyBorder="1" applyAlignment="1">
      <alignment horizontal="right"/>
    </xf>
    <xf numFmtId="0" fontId="0" fillId="0" borderId="0" xfId="0" applyNumberFormat="1" applyFont="1" applyFill="1" applyBorder="1" applyAlignment="1"/>
    <xf numFmtId="0" fontId="0" fillId="0" borderId="0" xfId="0" applyNumberFormat="1" applyFont="1" applyFill="1" applyBorder="1" applyAlignment="1">
      <alignment horizontal="center"/>
    </xf>
    <xf numFmtId="8" fontId="0" fillId="0" borderId="0" xfId="0" applyNumberFormat="1" applyFont="1" applyFill="1" applyBorder="1" applyAlignment="1">
      <alignment horizontal="center"/>
    </xf>
    <xf numFmtId="164" fontId="0" fillId="0" borderId="0" xfId="0" applyNumberFormat="1" applyFont="1" applyFill="1" applyBorder="1" applyAlignment="1">
      <alignment horizontal="center"/>
    </xf>
    <xf numFmtId="44" fontId="58" fillId="0" borderId="0" xfId="1" applyFont="1" applyFill="1" applyBorder="1"/>
    <xf numFmtId="0" fontId="0" fillId="0" borderId="0" xfId="0" applyNumberFormat="1" applyFont="1" applyFill="1" applyBorder="1" applyAlignment="1">
      <alignment horizontal="left"/>
    </xf>
    <xf numFmtId="0" fontId="69" fillId="0" borderId="0" xfId="0" applyFont="1" applyFill="1" applyBorder="1" applyAlignment="1"/>
    <xf numFmtId="0" fontId="79" fillId="0" borderId="0" xfId="0" applyFont="1" applyFill="1" applyBorder="1" applyAlignment="1"/>
    <xf numFmtId="0" fontId="0" fillId="0" borderId="0" xfId="0" applyNumberFormat="1" applyFont="1" applyFill="1" applyBorder="1" applyAlignment="1" applyProtection="1">
      <protection locked="0"/>
    </xf>
    <xf numFmtId="49" fontId="0" fillId="0" borderId="0" xfId="0" applyNumberFormat="1" applyAlignment="1">
      <alignment horizontal="center"/>
    </xf>
    <xf numFmtId="0" fontId="0" fillId="0" borderId="0" xfId="0" applyAlignment="1">
      <alignment horizontal="right"/>
    </xf>
    <xf numFmtId="49" fontId="0" fillId="0" borderId="0" xfId="0" applyNumberFormat="1" applyFont="1" applyAlignment="1">
      <alignment horizontal="center"/>
    </xf>
    <xf numFmtId="0" fontId="71" fillId="0" borderId="0" xfId="0" applyFont="1" applyBorder="1" applyAlignment="1">
      <alignment horizontal="left"/>
    </xf>
    <xf numFmtId="0" fontId="68" fillId="0" borderId="0" xfId="0" applyFont="1" applyAlignment="1">
      <alignment horizontal="left"/>
    </xf>
    <xf numFmtId="0" fontId="77" fillId="0" borderId="0" xfId="0" applyFont="1" applyAlignment="1">
      <alignment horizontal="left"/>
    </xf>
    <xf numFmtId="0" fontId="0" fillId="0" borderId="0" xfId="0" applyFont="1" applyAlignment="1">
      <alignment horizontal="left"/>
    </xf>
    <xf numFmtId="0" fontId="63" fillId="0" borderId="0" xfId="0" applyFont="1" applyAlignment="1">
      <alignment horizontal="left"/>
    </xf>
    <xf numFmtId="0" fontId="71" fillId="0" borderId="0" xfId="0" applyFont="1" applyFill="1" applyBorder="1" applyAlignment="1"/>
    <xf numFmtId="0" fontId="0" fillId="0" borderId="0" xfId="0" applyFont="1" applyAlignment="1"/>
    <xf numFmtId="0" fontId="68" fillId="0" borderId="0" xfId="0" applyFont="1" applyAlignment="1" applyProtection="1"/>
    <xf numFmtId="0" fontId="0" fillId="0" borderId="0" xfId="0" applyFont="1" applyAlignment="1" applyProtection="1">
      <alignment horizontal="left"/>
    </xf>
    <xf numFmtId="0" fontId="75" fillId="0" borderId="0" xfId="0" applyFont="1" applyAlignment="1">
      <alignment horizontal="left"/>
    </xf>
    <xf numFmtId="0" fontId="68" fillId="0" borderId="0" xfId="0" applyFont="1" applyAlignment="1" applyProtection="1">
      <alignment horizontal="left"/>
    </xf>
    <xf numFmtId="0" fontId="0" fillId="3" borderId="6" xfId="0" applyFont="1" applyFill="1" applyBorder="1" applyAlignment="1" applyProtection="1">
      <alignment horizontal="center"/>
    </xf>
    <xf numFmtId="0" fontId="0" fillId="3" borderId="7" xfId="0" applyFont="1" applyFill="1" applyBorder="1" applyAlignment="1" applyProtection="1">
      <alignment horizontal="center"/>
    </xf>
    <xf numFmtId="0" fontId="63" fillId="0" borderId="0" xfId="0" applyFont="1" applyFill="1" applyAlignment="1" applyProtection="1">
      <alignment horizontal="left"/>
    </xf>
    <xf numFmtId="0" fontId="65" fillId="0" borderId="0" xfId="0" applyFont="1" applyFill="1" applyAlignment="1" applyProtection="1">
      <alignment horizontal="left"/>
    </xf>
    <xf numFmtId="0" fontId="77" fillId="0" borderId="0" xfId="0" applyFont="1" applyFill="1" applyAlignment="1" applyProtection="1">
      <alignment horizontal="left" vertical="center"/>
    </xf>
    <xf numFmtId="0" fontId="77" fillId="0" borderId="0" xfId="0" applyFont="1" applyFill="1" applyAlignment="1" applyProtection="1">
      <alignment horizontal="left"/>
    </xf>
    <xf numFmtId="0" fontId="78" fillId="3" borderId="7" xfId="0" applyFont="1" applyFill="1" applyBorder="1" applyAlignment="1" applyProtection="1">
      <alignment horizontal="center"/>
    </xf>
    <xf numFmtId="0" fontId="78" fillId="3" borderId="6" xfId="0" applyFont="1" applyFill="1" applyBorder="1" applyAlignment="1" applyProtection="1">
      <alignment horizontal="center"/>
    </xf>
    <xf numFmtId="0" fontId="75" fillId="0" borderId="0" xfId="0" applyFont="1" applyAlignment="1" applyProtection="1">
      <alignment horizontal="left"/>
    </xf>
    <xf numFmtId="0" fontId="0" fillId="0" borderId="0" xfId="0" applyFont="1" applyAlignment="1" applyProtection="1"/>
    <xf numFmtId="0" fontId="77" fillId="0" borderId="0" xfId="0" applyFont="1" applyAlignment="1" applyProtection="1">
      <alignment horizontal="left"/>
    </xf>
    <xf numFmtId="0" fontId="63" fillId="0" borderId="0" xfId="0" applyFont="1" applyAlignment="1" applyProtection="1">
      <alignment horizontal="left"/>
    </xf>
    <xf numFmtId="0" fontId="0" fillId="0" borderId="5" xfId="0" applyNumberFormat="1" applyFont="1" applyBorder="1" applyAlignment="1" applyProtection="1">
      <alignment horizontal="left"/>
    </xf>
    <xf numFmtId="0" fontId="0" fillId="0" borderId="0" xfId="0" applyNumberFormat="1" applyFont="1" applyBorder="1" applyAlignment="1" applyProtection="1">
      <alignment horizontal="left"/>
    </xf>
    <xf numFmtId="0" fontId="79" fillId="0" borderId="0" xfId="0" applyFont="1" applyAlignment="1" applyProtection="1">
      <alignment horizontal="left"/>
    </xf>
    <xf numFmtId="0" fontId="65" fillId="0" borderId="0" xfId="0" applyFont="1" applyAlignment="1" applyProtection="1"/>
    <xf numFmtId="0" fontId="0" fillId="0" borderId="0" xfId="0" applyFont="1" applyBorder="1" applyAlignment="1" applyProtection="1">
      <alignment horizontal="left"/>
    </xf>
    <xf numFmtId="0" fontId="77" fillId="0" borderId="0" xfId="0" applyFont="1" applyBorder="1" applyAlignment="1" applyProtection="1">
      <alignment horizontal="left"/>
    </xf>
    <xf numFmtId="0" fontId="69" fillId="0" borderId="0" xfId="0" applyFont="1" applyAlignment="1" applyProtection="1">
      <alignment horizontal="left"/>
    </xf>
    <xf numFmtId="0" fontId="0" fillId="0" borderId="7" xfId="0" applyFont="1" applyBorder="1" applyAlignment="1" applyProtection="1">
      <alignment horizontal="right"/>
    </xf>
    <xf numFmtId="0" fontId="0" fillId="0" borderId="8" xfId="0" applyFont="1" applyBorder="1" applyAlignment="1" applyProtection="1">
      <alignment horizontal="right"/>
    </xf>
    <xf numFmtId="0" fontId="0" fillId="3" borderId="9" xfId="0" applyFont="1" applyFill="1" applyBorder="1" applyAlignment="1" applyProtection="1">
      <alignment horizontal="center"/>
    </xf>
    <xf numFmtId="0" fontId="0" fillId="3" borderId="10" xfId="0" applyFont="1" applyFill="1" applyBorder="1" applyAlignment="1" applyProtection="1">
      <alignment horizontal="center"/>
    </xf>
    <xf numFmtId="0" fontId="79" fillId="0" borderId="11" xfId="0" applyFont="1" applyBorder="1" applyAlignment="1" applyProtection="1">
      <alignment horizontal="left"/>
    </xf>
    <xf numFmtId="0" fontId="17" fillId="0" borderId="0" xfId="0" applyNumberFormat="1" applyFont="1" applyFill="1" applyBorder="1" applyAlignment="1">
      <alignment horizontal="center" vertical="center"/>
    </xf>
    <xf numFmtId="0" fontId="11" fillId="0" borderId="0" xfId="0" applyFont="1" applyFill="1" applyBorder="1" applyAlignment="1"/>
    <xf numFmtId="0" fontId="22" fillId="0" borderId="1" xfId="0" applyNumberFormat="1" applyFont="1" applyFill="1" applyBorder="1" applyAlignment="1">
      <alignment horizontal="center" vertical="center"/>
    </xf>
    <xf numFmtId="0" fontId="22" fillId="0" borderId="0" xfId="0" applyFont="1" applyBorder="1" applyAlignment="1">
      <alignment horizontal="center" vertical="center"/>
    </xf>
    <xf numFmtId="0" fontId="22" fillId="0" borderId="0" xfId="0" applyNumberFormat="1" applyFont="1" applyFill="1" applyBorder="1" applyAlignment="1">
      <alignment horizontal="center" vertical="center"/>
    </xf>
    <xf numFmtId="0" fontId="84" fillId="0" borderId="1" xfId="0" applyFont="1" applyBorder="1" applyAlignment="1">
      <alignment horizontal="center" vertical="center"/>
    </xf>
    <xf numFmtId="0" fontId="85" fillId="0" borderId="0" xfId="0" applyFont="1" applyFill="1" applyBorder="1" applyAlignment="1"/>
    <xf numFmtId="0" fontId="59" fillId="0" borderId="0" xfId="0" applyFont="1" applyBorder="1"/>
    <xf numFmtId="0" fontId="86" fillId="0" borderId="0" xfId="0" applyFont="1" applyBorder="1" applyAlignment="1">
      <alignment horizontal="center" vertical="center"/>
    </xf>
    <xf numFmtId="0" fontId="86" fillId="0" borderId="0" xfId="0" applyNumberFormat="1" applyFont="1" applyFill="1" applyBorder="1" applyAlignment="1">
      <alignment horizontal="center" vertical="center"/>
    </xf>
    <xf numFmtId="0" fontId="0" fillId="0" borderId="0" xfId="0" applyBorder="1" applyAlignment="1" applyProtection="1">
      <alignment horizontal="left"/>
    </xf>
    <xf numFmtId="0" fontId="0" fillId="0" borderId="5" xfId="0" applyFont="1" applyBorder="1" applyAlignment="1" applyProtection="1">
      <alignment horizontal="left"/>
    </xf>
    <xf numFmtId="0" fontId="63" fillId="0" borderId="0" xfId="0" applyFont="1" applyFill="1"/>
    <xf numFmtId="0" fontId="0" fillId="5" borderId="0" xfId="0" applyFont="1" applyFill="1"/>
    <xf numFmtId="0" fontId="64" fillId="0" borderId="0" xfId="0" applyNumberFormat="1" applyFont="1" applyFill="1" applyBorder="1" applyAlignment="1"/>
    <xf numFmtId="0" fontId="63" fillId="0" borderId="0" xfId="0" applyFont="1" applyAlignment="1"/>
    <xf numFmtId="0" fontId="77" fillId="0" borderId="0" xfId="0" applyFont="1" applyAlignment="1">
      <alignment horizontal="left"/>
    </xf>
    <xf numFmtId="0" fontId="78" fillId="0" borderId="5" xfId="0" applyFont="1" applyBorder="1" applyAlignment="1">
      <alignment horizontal="left"/>
    </xf>
    <xf numFmtId="0" fontId="63" fillId="0" borderId="5" xfId="0" applyFont="1" applyBorder="1" applyAlignment="1">
      <alignment horizontal="left"/>
    </xf>
    <xf numFmtId="0" fontId="63" fillId="0" borderId="0" xfId="0" applyFont="1" applyBorder="1" applyAlignment="1">
      <alignment horizontal="left"/>
    </xf>
    <xf numFmtId="0" fontId="63" fillId="0" borderId="0" xfId="0" applyFont="1" applyFill="1" applyAlignment="1" applyProtection="1">
      <alignment horizontal="left"/>
    </xf>
    <xf numFmtId="0" fontId="68" fillId="0" borderId="0" xfId="0" applyFont="1" applyAlignment="1" applyProtection="1">
      <alignment horizontal="left"/>
    </xf>
    <xf numFmtId="0" fontId="77" fillId="0" borderId="0" xfId="0" applyFont="1" applyAlignment="1" applyProtection="1">
      <alignment horizontal="left"/>
    </xf>
    <xf numFmtId="0" fontId="63" fillId="0" borderId="5" xfId="0" applyFont="1" applyBorder="1" applyAlignment="1"/>
    <xf numFmtId="0" fontId="0" fillId="0" borderId="0" xfId="0" applyAlignment="1">
      <alignment horizontal="left"/>
    </xf>
    <xf numFmtId="0" fontId="87" fillId="0" borderId="0" xfId="0" applyFont="1" applyAlignment="1" applyProtection="1"/>
    <xf numFmtId="0" fontId="0" fillId="0" borderId="0" xfId="0" applyAlignment="1" applyProtection="1">
      <alignment horizontal="left"/>
    </xf>
    <xf numFmtId="0" fontId="0" fillId="0" borderId="0" xfId="0" applyAlignment="1" applyProtection="1"/>
    <xf numFmtId="0" fontId="88" fillId="0" borderId="0" xfId="0" applyFont="1" applyBorder="1" applyAlignment="1"/>
    <xf numFmtId="0" fontId="0" fillId="0" borderId="5" xfId="0" applyBorder="1" applyAlignment="1" applyProtection="1"/>
    <xf numFmtId="49" fontId="0" fillId="0" borderId="0" xfId="0" applyNumberFormat="1" applyAlignment="1" applyProtection="1">
      <alignment horizontal="center"/>
    </xf>
    <xf numFmtId="0" fontId="62" fillId="0" borderId="0" xfId="0" applyFont="1" applyAlignment="1" applyProtection="1">
      <alignment horizontal="left"/>
    </xf>
    <xf numFmtId="0" fontId="89" fillId="0" borderId="0" xfId="0" applyFont="1" applyAlignment="1" applyProtection="1">
      <alignment horizontal="left"/>
    </xf>
    <xf numFmtId="49" fontId="63" fillId="0" borderId="0" xfId="0" applyNumberFormat="1" applyFont="1" applyAlignment="1" applyProtection="1">
      <alignment horizontal="center"/>
    </xf>
    <xf numFmtId="0" fontId="63" fillId="0" borderId="0" xfId="0" applyFont="1" applyFill="1" applyBorder="1" applyAlignment="1">
      <alignment horizontal="center"/>
    </xf>
    <xf numFmtId="0" fontId="63" fillId="0" borderId="0" xfId="0" applyFont="1" applyAlignment="1"/>
    <xf numFmtId="0" fontId="90" fillId="0" borderId="0" xfId="0" applyNumberFormat="1" applyFont="1" applyFill="1" applyBorder="1" applyAlignment="1" applyProtection="1"/>
    <xf numFmtId="0" fontId="0" fillId="0" borderId="0" xfId="0" applyFont="1" applyAlignment="1">
      <alignment horizontal="centerContinuous"/>
    </xf>
    <xf numFmtId="0" fontId="91" fillId="0" borderId="0" xfId="0" applyFont="1" applyAlignment="1">
      <alignment horizontal="centerContinuous"/>
    </xf>
    <xf numFmtId="0" fontId="92" fillId="0" borderId="0" xfId="0" applyFont="1" applyAlignment="1">
      <alignment horizontal="centerContinuous"/>
    </xf>
    <xf numFmtId="0" fontId="93" fillId="0" borderId="0" xfId="0" applyFont="1" applyAlignment="1">
      <alignment horizontal="centerContinuous"/>
    </xf>
    <xf numFmtId="0" fontId="87" fillId="0" borderId="0" xfId="0" applyFont="1" applyAlignment="1">
      <alignment horizontal="centerContinuous"/>
    </xf>
    <xf numFmtId="0" fontId="94" fillId="0" borderId="0" xfId="0" applyFont="1" applyAlignment="1">
      <alignment horizontal="centerContinuous"/>
    </xf>
    <xf numFmtId="49" fontId="0" fillId="0" borderId="0" xfId="0" applyNumberFormat="1" applyFont="1" applyFill="1" applyBorder="1" applyAlignment="1" applyProtection="1">
      <alignment horizontal="right"/>
    </xf>
    <xf numFmtId="49" fontId="0" fillId="0" borderId="0" xfId="0" applyNumberFormat="1" applyFont="1" applyProtection="1"/>
    <xf numFmtId="49" fontId="0" fillId="0" borderId="0" xfId="0" applyNumberFormat="1" applyFont="1" applyFill="1" applyBorder="1" applyAlignment="1" applyProtection="1"/>
    <xf numFmtId="49" fontId="0" fillId="0" borderId="0" xfId="0" applyNumberFormat="1" applyFont="1" applyFill="1" applyBorder="1" applyProtection="1"/>
    <xf numFmtId="49" fontId="64" fillId="0" borderId="0" xfId="0" applyNumberFormat="1" applyFont="1" applyFill="1" applyBorder="1" applyAlignment="1" applyProtection="1"/>
    <xf numFmtId="0" fontId="12" fillId="0" borderId="0" xfId="0" applyFont="1"/>
    <xf numFmtId="0" fontId="12" fillId="0" borderId="0" xfId="0" applyFont="1" applyProtection="1"/>
    <xf numFmtId="0" fontId="12" fillId="0" borderId="0" xfId="0" applyNumberFormat="1" applyFont="1" applyFill="1" applyBorder="1" applyAlignment="1"/>
    <xf numFmtId="0" fontId="7" fillId="0" borderId="0" xfId="0" applyFont="1"/>
    <xf numFmtId="0" fontId="5" fillId="0" borderId="0" xfId="0" applyFont="1" applyFill="1"/>
    <xf numFmtId="0" fontId="7"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79" fillId="0" borderId="0" xfId="0" applyFont="1" applyAlignment="1">
      <alignment horizontal="center"/>
    </xf>
    <xf numFmtId="0" fontId="16" fillId="0" borderId="0" xfId="2" applyFont="1" applyFill="1" applyBorder="1" applyAlignment="1" applyProtection="1">
      <alignment horizontal="center"/>
    </xf>
    <xf numFmtId="0" fontId="68" fillId="0" borderId="0" xfId="0" applyFont="1" applyAlignment="1" applyProtection="1">
      <alignment horizontal="left"/>
    </xf>
    <xf numFmtId="0" fontId="95" fillId="0" borderId="0" xfId="2" applyFont="1" applyAlignment="1" applyProtection="1">
      <alignment horizontal="left" indent="2"/>
    </xf>
    <xf numFmtId="0" fontId="96" fillId="0" borderId="0" xfId="0" applyFont="1"/>
    <xf numFmtId="0" fontId="59" fillId="6" borderId="1" xfId="0" applyFont="1" applyFill="1" applyBorder="1" applyAlignment="1" applyProtection="1">
      <alignment horizontal="center"/>
    </xf>
    <xf numFmtId="0" fontId="97" fillId="6" borderId="1" xfId="0" applyFont="1" applyFill="1" applyBorder="1" applyAlignment="1" applyProtection="1">
      <alignment horizontal="center"/>
    </xf>
    <xf numFmtId="0" fontId="63" fillId="7" borderId="12" xfId="0" applyFont="1" applyFill="1" applyBorder="1" applyAlignment="1" applyProtection="1">
      <alignment horizontal="center"/>
      <protection locked="0"/>
    </xf>
    <xf numFmtId="0" fontId="63" fillId="7" borderId="1" xfId="0" applyFont="1" applyFill="1" applyBorder="1" applyAlignment="1" applyProtection="1">
      <alignment horizontal="center" vertical="center"/>
      <protection locked="0"/>
    </xf>
    <xf numFmtId="0" fontId="63" fillId="7" borderId="12" xfId="0" applyFont="1" applyFill="1" applyBorder="1" applyAlignment="1" applyProtection="1">
      <alignment horizontal="center" vertical="center"/>
      <protection locked="0"/>
    </xf>
    <xf numFmtId="0" fontId="98" fillId="6" borderId="1" xfId="0" applyFont="1" applyFill="1" applyBorder="1" applyAlignment="1" applyProtection="1">
      <alignment horizontal="center"/>
    </xf>
    <xf numFmtId="0" fontId="0" fillId="7" borderId="1" xfId="0" applyFont="1" applyFill="1" applyBorder="1" applyAlignment="1" applyProtection="1">
      <alignment horizontal="center" vertical="center"/>
      <protection locked="0"/>
    </xf>
    <xf numFmtId="9" fontId="0" fillId="7" borderId="1" xfId="0" applyNumberFormat="1" applyFont="1" applyFill="1" applyBorder="1" applyAlignment="1" applyProtection="1">
      <alignment horizontal="center"/>
      <protection locked="0"/>
    </xf>
    <xf numFmtId="0" fontId="79" fillId="7" borderId="1" xfId="0" applyFont="1" applyFill="1" applyBorder="1" applyAlignment="1" applyProtection="1">
      <alignment horizontal="center"/>
      <protection locked="0"/>
    </xf>
    <xf numFmtId="0" fontId="59" fillId="6" borderId="1" xfId="0" applyFont="1" applyFill="1" applyBorder="1" applyAlignment="1" applyProtection="1">
      <alignment horizontal="center" vertical="center"/>
    </xf>
    <xf numFmtId="9" fontId="78" fillId="7" borderId="1" xfId="0" applyNumberFormat="1" applyFont="1" applyFill="1" applyBorder="1" applyAlignment="1" applyProtection="1">
      <alignment horizontal="center"/>
      <protection locked="0"/>
    </xf>
    <xf numFmtId="0" fontId="63" fillId="7" borderId="3" xfId="0" applyFont="1" applyFill="1" applyBorder="1" applyAlignment="1" applyProtection="1">
      <alignment horizontal="center"/>
      <protection locked="0"/>
    </xf>
    <xf numFmtId="0" fontId="0" fillId="7" borderId="1" xfId="0" applyFont="1" applyFill="1" applyBorder="1" applyAlignment="1" applyProtection="1">
      <protection locked="0"/>
    </xf>
    <xf numFmtId="0" fontId="0" fillId="7" borderId="1" xfId="0" applyFill="1" applyBorder="1" applyAlignment="1" applyProtection="1">
      <alignment horizontal="center"/>
      <protection locked="0"/>
    </xf>
    <xf numFmtId="0" fontId="99" fillId="6" borderId="10" xfId="0" applyFont="1" applyFill="1" applyBorder="1" applyAlignment="1" applyProtection="1">
      <alignment horizontal="center"/>
    </xf>
    <xf numFmtId="1" fontId="59" fillId="6" borderId="1" xfId="0" applyNumberFormat="1" applyFont="1" applyFill="1" applyBorder="1" applyAlignment="1" applyProtection="1">
      <alignment horizontal="center"/>
    </xf>
    <xf numFmtId="0" fontId="0" fillId="7" borderId="1" xfId="0" applyFill="1" applyBorder="1" applyAlignment="1" applyProtection="1">
      <alignment horizontal="center" vertical="center"/>
      <protection locked="0"/>
    </xf>
    <xf numFmtId="0" fontId="0" fillId="0" borderId="0" xfId="0" applyFont="1" applyAlignment="1" applyProtection="1">
      <alignment horizontal="left"/>
    </xf>
    <xf numFmtId="0" fontId="0" fillId="0" borderId="0" xfId="0" applyFont="1" applyAlignment="1">
      <alignment horizontal="center"/>
    </xf>
    <xf numFmtId="0" fontId="59" fillId="6" borderId="54" xfId="0" applyFont="1" applyFill="1" applyBorder="1" applyAlignment="1" applyProtection="1">
      <alignment horizontal="center"/>
    </xf>
    <xf numFmtId="0" fontId="59" fillId="6" borderId="3" xfId="0" applyFont="1" applyFill="1" applyBorder="1" applyAlignment="1" applyProtection="1">
      <alignment horizontal="center"/>
    </xf>
    <xf numFmtId="0" fontId="0" fillId="0" borderId="0" xfId="0" applyFont="1"/>
    <xf numFmtId="0" fontId="0" fillId="0" borderId="0" xfId="0" applyFont="1" applyAlignment="1"/>
    <xf numFmtId="0" fontId="0" fillId="0" borderId="0" xfId="0" applyFont="1" applyBorder="1" applyAlignment="1"/>
    <xf numFmtId="0" fontId="0" fillId="0" borderId="0" xfId="0" applyFont="1" applyFill="1"/>
    <xf numFmtId="0" fontId="0" fillId="0" borderId="0" xfId="0" applyFont="1" applyBorder="1" applyAlignment="1">
      <alignment horizontal="left"/>
    </xf>
    <xf numFmtId="0" fontId="0" fillId="0" borderId="0" xfId="0" applyFont="1" applyBorder="1"/>
    <xf numFmtId="0" fontId="0" fillId="0" borderId="0" xfId="0" applyFont="1" applyAlignment="1" applyProtection="1">
      <alignment horizontal="center"/>
      <protection locked="0"/>
    </xf>
    <xf numFmtId="0" fontId="87" fillId="0" borderId="0" xfId="0" applyFont="1" applyBorder="1" applyAlignment="1" applyProtection="1"/>
    <xf numFmtId="0" fontId="87" fillId="0" borderId="0" xfId="0" applyFont="1" applyBorder="1" applyAlignment="1" applyProtection="1">
      <alignment horizontal="left"/>
    </xf>
    <xf numFmtId="0" fontId="101" fillId="0" borderId="0" xfId="0" applyFont="1" applyFill="1" applyBorder="1" applyAlignment="1"/>
    <xf numFmtId="0" fontId="0" fillId="0" borderId="0" xfId="0" applyFont="1" applyFill="1" applyBorder="1" applyAlignment="1" applyProtection="1"/>
    <xf numFmtId="0" fontId="84" fillId="0" borderId="1" xfId="0" applyFont="1" applyBorder="1" applyAlignment="1">
      <alignment horizontal="center" vertical="center"/>
    </xf>
    <xf numFmtId="0" fontId="40" fillId="0" borderId="0" xfId="0" applyNumberFormat="1" applyFont="1" applyBorder="1" applyAlignment="1" applyProtection="1"/>
    <xf numFmtId="0" fontId="90" fillId="0" borderId="0" xfId="0" applyFont="1" applyBorder="1" applyProtection="1"/>
    <xf numFmtId="0" fontId="90" fillId="0" borderId="0" xfId="0" applyNumberFormat="1" applyFont="1" applyBorder="1" applyAlignment="1" applyProtection="1"/>
    <xf numFmtId="0" fontId="90" fillId="0" borderId="0" xfId="0" applyNumberFormat="1" applyFont="1" applyBorder="1" applyAlignment="1" applyProtection="1">
      <alignment horizontal="center"/>
    </xf>
    <xf numFmtId="0" fontId="90" fillId="0" borderId="0" xfId="0" applyNumberFormat="1" applyFont="1" applyBorder="1" applyAlignment="1" applyProtection="1">
      <alignment horizontal="left"/>
    </xf>
    <xf numFmtId="0" fontId="71" fillId="0" borderId="0" xfId="0" applyFont="1" applyFill="1" applyBorder="1" applyAlignment="1" applyProtection="1"/>
    <xf numFmtId="0" fontId="0" fillId="0" borderId="0" xfId="0" applyFont="1" applyAlignment="1" applyProtection="1">
      <alignment horizontal="center"/>
    </xf>
    <xf numFmtId="0" fontId="0" fillId="0" borderId="0" xfId="0" applyFont="1" applyAlignment="1" applyProtection="1">
      <alignment horizontal="left"/>
    </xf>
    <xf numFmtId="0" fontId="68" fillId="0" borderId="0" xfId="0" applyFont="1" applyAlignment="1" applyProtection="1">
      <alignment horizontal="left"/>
    </xf>
    <xf numFmtId="0" fontId="0" fillId="0" borderId="0" xfId="0" applyFont="1" applyBorder="1" applyAlignment="1" applyProtection="1">
      <alignment horizontal="center"/>
    </xf>
    <xf numFmtId="0" fontId="78" fillId="0" borderId="0" xfId="0" applyFont="1" applyAlignment="1" applyProtection="1">
      <alignment horizontal="right"/>
    </xf>
    <xf numFmtId="0" fontId="63" fillId="7" borderId="1" xfId="0" applyFont="1" applyFill="1" applyBorder="1" applyAlignment="1" applyProtection="1">
      <alignment horizontal="center"/>
      <protection locked="0"/>
    </xf>
    <xf numFmtId="0" fontId="0" fillId="7" borderId="1" xfId="0" applyFont="1" applyFill="1" applyBorder="1" applyAlignment="1" applyProtection="1">
      <alignment horizontal="center"/>
      <protection locked="0"/>
    </xf>
    <xf numFmtId="0" fontId="0" fillId="7" borderId="12" xfId="0" applyFont="1" applyFill="1" applyBorder="1" applyAlignment="1" applyProtection="1">
      <protection locked="0"/>
    </xf>
    <xf numFmtId="0" fontId="104" fillId="0" borderId="0" xfId="0" applyFont="1" applyFill="1" applyBorder="1" applyProtection="1"/>
    <xf numFmtId="0" fontId="104" fillId="0" borderId="0" xfId="0" applyFont="1" applyProtection="1"/>
    <xf numFmtId="0" fontId="0" fillId="0" borderId="14" xfId="0" applyFont="1" applyBorder="1" applyProtection="1"/>
    <xf numFmtId="0" fontId="105" fillId="0" borderId="1" xfId="0" applyFont="1" applyBorder="1" applyAlignment="1" applyProtection="1">
      <alignment horizontal="center" wrapText="1"/>
    </xf>
    <xf numFmtId="0" fontId="82" fillId="0" borderId="15" xfId="0" applyFont="1" applyBorder="1" applyAlignment="1" applyProtection="1"/>
    <xf numFmtId="0" fontId="68" fillId="0" borderId="7" xfId="0" applyFont="1" applyBorder="1" applyAlignment="1" applyProtection="1"/>
    <xf numFmtId="0" fontId="0" fillId="0" borderId="2" xfId="0" applyFont="1" applyBorder="1" applyAlignment="1" applyProtection="1">
      <alignment horizontal="center"/>
    </xf>
    <xf numFmtId="0" fontId="0" fillId="8" borderId="16" xfId="0" applyFont="1" applyFill="1" applyBorder="1" applyProtection="1"/>
    <xf numFmtId="49" fontId="0" fillId="0" borderId="3" xfId="0" applyNumberFormat="1" applyFont="1" applyBorder="1" applyAlignment="1" applyProtection="1">
      <alignment horizontal="center"/>
    </xf>
    <xf numFmtId="0" fontId="63" fillId="8" borderId="15" xfId="0" applyFont="1" applyFill="1" applyBorder="1" applyAlignment="1" applyProtection="1">
      <alignment horizontal="left"/>
    </xf>
    <xf numFmtId="0" fontId="75" fillId="0" borderId="9" xfId="0" applyFont="1" applyBorder="1" applyAlignment="1" applyProtection="1"/>
    <xf numFmtId="0" fontId="0" fillId="0" borderId="1" xfId="0" applyFont="1" applyBorder="1" applyAlignment="1" applyProtection="1">
      <alignment horizontal="center"/>
    </xf>
    <xf numFmtId="0" fontId="63" fillId="0" borderId="0" xfId="0" applyFont="1" applyFill="1" applyBorder="1" applyAlignment="1" applyProtection="1">
      <alignment vertical="center" wrapText="1"/>
    </xf>
    <xf numFmtId="0" fontId="0" fillId="0" borderId="0" xfId="0" applyFont="1" applyFill="1" applyBorder="1" applyAlignment="1" applyProtection="1">
      <alignment vertical="center" wrapText="1"/>
    </xf>
    <xf numFmtId="0" fontId="76" fillId="0" borderId="0" xfId="0" applyFont="1" applyAlignment="1" applyProtection="1">
      <alignment horizontal="center"/>
    </xf>
    <xf numFmtId="0" fontId="63" fillId="0" borderId="1" xfId="0" applyFont="1" applyBorder="1" applyAlignment="1" applyProtection="1">
      <alignment horizontal="left"/>
    </xf>
    <xf numFmtId="0" fontId="0" fillId="8" borderId="14" xfId="0" applyFont="1" applyFill="1" applyBorder="1" applyProtection="1"/>
    <xf numFmtId="0" fontId="0" fillId="0" borderId="1" xfId="0" applyNumberFormat="1" applyFont="1" applyBorder="1" applyAlignment="1" applyProtection="1">
      <alignment horizontal="center" vertical="center"/>
    </xf>
    <xf numFmtId="0" fontId="75" fillId="0" borderId="9" xfId="0" applyFont="1" applyBorder="1" applyAlignment="1" applyProtection="1">
      <alignment wrapText="1"/>
    </xf>
    <xf numFmtId="0" fontId="0" fillId="0" borderId="1" xfId="0" applyNumberFormat="1" applyFont="1" applyBorder="1" applyAlignment="1" applyProtection="1">
      <alignment horizontal="center"/>
    </xf>
    <xf numFmtId="0" fontId="79" fillId="0" borderId="9" xfId="0" applyFont="1" applyBorder="1" applyAlignment="1" applyProtection="1"/>
    <xf numFmtId="0" fontId="63" fillId="0" borderId="1" xfId="0" applyNumberFormat="1" applyFont="1" applyFill="1" applyBorder="1" applyAlignment="1" applyProtection="1">
      <alignment horizontal="center"/>
    </xf>
    <xf numFmtId="0" fontId="79" fillId="0" borderId="1" xfId="0" applyFont="1" applyBorder="1" applyAlignment="1" applyProtection="1"/>
    <xf numFmtId="0" fontId="0" fillId="0" borderId="9" xfId="0" applyFont="1" applyBorder="1" applyAlignment="1" applyProtection="1"/>
    <xf numFmtId="49" fontId="0" fillId="0" borderId="1" xfId="0" applyNumberFormat="1" applyFont="1" applyBorder="1" applyAlignment="1" applyProtection="1">
      <alignment horizontal="center"/>
    </xf>
    <xf numFmtId="0" fontId="0" fillId="0" borderId="1" xfId="0" applyFont="1" applyBorder="1" applyAlignment="1" applyProtection="1">
      <alignment vertical="center" wrapText="1"/>
    </xf>
    <xf numFmtId="0" fontId="77" fillId="0" borderId="9" xfId="0" applyFont="1" applyBorder="1" applyAlignment="1" applyProtection="1"/>
    <xf numFmtId="0" fontId="0" fillId="0" borderId="1" xfId="0" applyFont="1" applyBorder="1" applyAlignment="1" applyProtection="1">
      <alignment horizontal="left"/>
    </xf>
    <xf numFmtId="0" fontId="0" fillId="0" borderId="11" xfId="0" applyFont="1" applyBorder="1" applyAlignment="1" applyProtection="1"/>
    <xf numFmtId="0" fontId="0" fillId="0" borderId="11" xfId="0" applyFont="1" applyBorder="1" applyAlignment="1" applyProtection="1">
      <alignment horizontal="center"/>
    </xf>
    <xf numFmtId="0" fontId="0" fillId="0" borderId="7" xfId="0" applyFont="1" applyBorder="1" applyAlignment="1" applyProtection="1"/>
    <xf numFmtId="0" fontId="0" fillId="0" borderId="7" xfId="0" applyFont="1" applyBorder="1" applyAlignment="1" applyProtection="1">
      <alignment horizontal="center"/>
    </xf>
    <xf numFmtId="0" fontId="0" fillId="0" borderId="3" xfId="0" applyFont="1" applyBorder="1" applyAlignment="1" applyProtection="1">
      <alignment horizontal="center"/>
    </xf>
    <xf numFmtId="0" fontId="96" fillId="0" borderId="1" xfId="0" applyNumberFormat="1" applyFont="1" applyBorder="1" applyAlignment="1" applyProtection="1">
      <alignment horizontal="center"/>
    </xf>
    <xf numFmtId="0" fontId="96" fillId="0" borderId="1" xfId="0" applyFont="1" applyBorder="1" applyAlignment="1" applyProtection="1">
      <alignment horizontal="left"/>
    </xf>
    <xf numFmtId="0" fontId="71" fillId="0" borderId="0" xfId="0" applyFont="1" applyProtection="1"/>
    <xf numFmtId="0" fontId="71" fillId="0" borderId="0" xfId="0" applyFont="1" applyFill="1" applyProtection="1"/>
    <xf numFmtId="0" fontId="96" fillId="0" borderId="0" xfId="0" applyFont="1" applyFill="1" applyProtection="1"/>
    <xf numFmtId="0" fontId="96" fillId="0" borderId="0" xfId="0" applyFont="1" applyProtection="1"/>
    <xf numFmtId="0" fontId="106" fillId="0" borderId="0" xfId="0" applyFont="1" applyProtection="1"/>
    <xf numFmtId="0" fontId="63" fillId="0" borderId="0" xfId="0" applyNumberFormat="1" applyFont="1" applyAlignment="1" applyProtection="1">
      <alignment horizontal="left"/>
    </xf>
    <xf numFmtId="0" fontId="107" fillId="0" borderId="0" xfId="0" applyFont="1" applyProtection="1"/>
    <xf numFmtId="0" fontId="0" fillId="0" borderId="0" xfId="0" applyProtection="1"/>
    <xf numFmtId="0" fontId="108" fillId="0" borderId="0" xfId="0" applyFont="1" applyProtection="1"/>
    <xf numFmtId="0" fontId="109" fillId="0" borderId="0" xfId="0" applyFont="1" applyAlignment="1" applyProtection="1"/>
    <xf numFmtId="0" fontId="90" fillId="0" borderId="0" xfId="0" applyFont="1" applyProtection="1"/>
    <xf numFmtId="0" fontId="90" fillId="0" borderId="0" xfId="0" applyNumberFormat="1" applyFont="1" applyAlignment="1" applyProtection="1"/>
    <xf numFmtId="0" fontId="110" fillId="0" borderId="0" xfId="0" applyFont="1" applyBorder="1" applyAlignment="1" applyProtection="1"/>
    <xf numFmtId="0" fontId="14" fillId="0" borderId="0" xfId="0" applyFont="1" applyAlignment="1" applyProtection="1"/>
    <xf numFmtId="49" fontId="90" fillId="0" borderId="0" xfId="0" applyNumberFormat="1" applyFont="1" applyFill="1" applyBorder="1" applyAlignment="1" applyProtection="1"/>
    <xf numFmtId="0" fontId="90" fillId="0" borderId="0" xfId="0" applyFont="1" applyFill="1" applyBorder="1" applyProtection="1"/>
    <xf numFmtId="0" fontId="90" fillId="0" borderId="0" xfId="0" applyFont="1" applyFill="1" applyProtection="1"/>
    <xf numFmtId="49" fontId="90" fillId="0" borderId="0" xfId="0" applyNumberFormat="1" applyFont="1" applyFill="1" applyBorder="1" applyAlignment="1" applyProtection="1">
      <alignment horizontal="center"/>
    </xf>
    <xf numFmtId="0" fontId="110" fillId="0" borderId="0" xfId="0" applyNumberFormat="1" applyFont="1" applyBorder="1" applyAlignment="1" applyProtection="1"/>
    <xf numFmtId="0" fontId="90" fillId="0" borderId="0" xfId="0" applyFont="1" applyBorder="1" applyAlignment="1" applyProtection="1">
      <alignment horizontal="right"/>
    </xf>
    <xf numFmtId="0" fontId="66" fillId="0" borderId="0" xfId="0" applyFont="1" applyBorder="1" applyAlignment="1" applyProtection="1">
      <alignment horizontal="center" wrapText="1"/>
    </xf>
    <xf numFmtId="0" fontId="68" fillId="0" borderId="0" xfId="0" applyNumberFormat="1" applyFont="1" applyBorder="1" applyAlignment="1" applyProtection="1">
      <alignment horizontal="center"/>
    </xf>
    <xf numFmtId="0" fontId="87" fillId="0" borderId="0" xfId="0" applyFont="1" applyBorder="1" applyProtection="1"/>
    <xf numFmtId="0" fontId="68" fillId="0" borderId="0" xfId="0" applyFont="1" applyBorder="1" applyAlignment="1" applyProtection="1"/>
    <xf numFmtId="0" fontId="111" fillId="0" borderId="0" xfId="0" applyFont="1" applyBorder="1" applyProtection="1"/>
    <xf numFmtId="0" fontId="0" fillId="0" borderId="0" xfId="0" applyFont="1" applyFill="1" applyBorder="1" applyAlignment="1" applyProtection="1">
      <alignment horizontal="right"/>
    </xf>
    <xf numFmtId="0" fontId="11" fillId="0" borderId="0" xfId="0" applyFont="1" applyBorder="1" applyAlignment="1" applyProtection="1">
      <alignment horizontal="center"/>
    </xf>
    <xf numFmtId="0" fontId="66" fillId="0" borderId="0" xfId="0" applyFont="1" applyProtection="1"/>
    <xf numFmtId="0" fontId="59" fillId="0" borderId="0" xfId="0" applyFont="1" applyBorder="1" applyProtection="1"/>
    <xf numFmtId="0" fontId="112" fillId="0" borderId="0" xfId="0" applyFont="1" applyBorder="1" applyProtection="1"/>
    <xf numFmtId="0" fontId="113" fillId="0" borderId="0" xfId="0" applyFont="1" applyBorder="1" applyAlignment="1" applyProtection="1">
      <alignment horizontal="center"/>
    </xf>
    <xf numFmtId="0" fontId="114" fillId="0" borderId="0" xfId="0" applyFont="1" applyProtection="1"/>
    <xf numFmtId="0" fontId="112" fillId="0" borderId="0" xfId="0" applyFont="1" applyProtection="1"/>
    <xf numFmtId="0" fontId="59" fillId="0" borderId="0" xfId="0" applyFont="1" applyBorder="1" applyAlignment="1" applyProtection="1"/>
    <xf numFmtId="0" fontId="59" fillId="0" borderId="0" xfId="0" applyFont="1" applyProtection="1"/>
    <xf numFmtId="0" fontId="59" fillId="0" borderId="0" xfId="0" applyFont="1" applyAlignment="1" applyProtection="1"/>
    <xf numFmtId="49" fontId="59" fillId="0" borderId="0" xfId="0" applyNumberFormat="1" applyFont="1" applyAlignment="1" applyProtection="1"/>
    <xf numFmtId="0" fontId="113" fillId="0" borderId="0" xfId="0" applyFont="1" applyFill="1" applyProtection="1"/>
    <xf numFmtId="0" fontId="98" fillId="0" borderId="0" xfId="0" applyFont="1" applyFill="1" applyAlignment="1" applyProtection="1">
      <alignment horizontal="center"/>
    </xf>
    <xf numFmtId="0" fontId="59" fillId="0" borderId="0" xfId="0" applyFont="1" applyBorder="1" applyAlignment="1" applyProtection="1">
      <alignment horizontal="right"/>
    </xf>
    <xf numFmtId="0" fontId="59" fillId="0" borderId="0" xfId="0" applyFont="1" applyFill="1" applyBorder="1" applyAlignment="1" applyProtection="1">
      <alignment horizontal="center"/>
    </xf>
    <xf numFmtId="0" fontId="42" fillId="0" borderId="0" xfId="0" applyFont="1" applyProtection="1"/>
    <xf numFmtId="0" fontId="40" fillId="0" borderId="0" xfId="0" applyFont="1" applyProtection="1"/>
    <xf numFmtId="0" fontId="115" fillId="0" borderId="0" xfId="0" applyFont="1" applyAlignment="1" applyProtection="1">
      <alignment vertical="top" wrapText="1"/>
    </xf>
    <xf numFmtId="0" fontId="115" fillId="0" borderId="0" xfId="0" applyFont="1" applyBorder="1" applyAlignment="1" applyProtection="1">
      <alignment vertical="top" wrapText="1"/>
    </xf>
    <xf numFmtId="0" fontId="39" fillId="0" borderId="0" xfId="0" applyFont="1" applyAlignment="1" applyProtection="1">
      <alignment horizontal="left" readingOrder="1"/>
    </xf>
    <xf numFmtId="0" fontId="40" fillId="0" borderId="0" xfId="0" applyFont="1" applyAlignment="1" applyProtection="1">
      <alignment horizontal="center"/>
    </xf>
    <xf numFmtId="0" fontId="101" fillId="0" borderId="0" xfId="0" applyFont="1" applyBorder="1" applyAlignment="1" applyProtection="1">
      <alignment horizontal="center"/>
    </xf>
    <xf numFmtId="0" fontId="101" fillId="0" borderId="0" xfId="0" applyFont="1" applyAlignment="1" applyProtection="1">
      <alignment horizontal="center"/>
    </xf>
    <xf numFmtId="0" fontId="39" fillId="0" borderId="0" xfId="0" applyFont="1" applyBorder="1" applyAlignment="1" applyProtection="1">
      <alignment horizontal="left" readingOrder="1"/>
    </xf>
    <xf numFmtId="0" fontId="116" fillId="0" borderId="0" xfId="0" applyFont="1" applyBorder="1" applyAlignment="1" applyProtection="1">
      <alignment horizontal="left" readingOrder="1"/>
    </xf>
    <xf numFmtId="0" fontId="116" fillId="0" borderId="0" xfId="0" applyFont="1" applyBorder="1" applyAlignment="1" applyProtection="1">
      <alignment horizontal="left" wrapText="1" readingOrder="1"/>
    </xf>
    <xf numFmtId="0" fontId="112" fillId="9" borderId="0" xfId="0" applyFont="1" applyFill="1" applyBorder="1" applyAlignment="1" applyProtection="1">
      <alignment wrapText="1"/>
    </xf>
    <xf numFmtId="0" fontId="40" fillId="0" borderId="0" xfId="0" applyFont="1" applyFill="1" applyBorder="1" applyAlignment="1" applyProtection="1">
      <alignment vertical="center" wrapText="1"/>
    </xf>
    <xf numFmtId="0" fontId="40" fillId="10" borderId="0" xfId="0" applyNumberFormat="1" applyFont="1" applyFill="1" applyAlignment="1" applyProtection="1"/>
    <xf numFmtId="0" fontId="40" fillId="11" borderId="0" xfId="0" applyNumberFormat="1" applyFont="1" applyFill="1" applyAlignment="1" applyProtection="1"/>
    <xf numFmtId="0" fontId="112" fillId="12" borderId="0" xfId="0" applyNumberFormat="1" applyFont="1" applyFill="1" applyAlignment="1" applyProtection="1"/>
    <xf numFmtId="0" fontId="90" fillId="0" borderId="0" xfId="0" applyNumberFormat="1" applyFont="1" applyAlignment="1" applyProtection="1">
      <alignment horizontal="left"/>
    </xf>
    <xf numFmtId="0" fontId="40" fillId="0" borderId="0" xfId="0" applyFont="1" applyFill="1" applyBorder="1" applyAlignment="1" applyProtection="1">
      <alignment horizontal="center"/>
    </xf>
    <xf numFmtId="0" fontId="0" fillId="0" borderId="0" xfId="0" applyFill="1" applyBorder="1" applyProtection="1"/>
    <xf numFmtId="0" fontId="0" fillId="0" borderId="20" xfId="0" applyFill="1" applyBorder="1" applyProtection="1"/>
    <xf numFmtId="0" fontId="0" fillId="0" borderId="23" xfId="0" applyFill="1" applyBorder="1" applyProtection="1"/>
    <xf numFmtId="0" fontId="78" fillId="0" borderId="0" xfId="0" applyFont="1" applyFill="1" applyBorder="1" applyAlignment="1" applyProtection="1"/>
    <xf numFmtId="0" fontId="65" fillId="0" borderId="0" xfId="0" applyFont="1" applyFill="1" applyBorder="1" applyAlignment="1" applyProtection="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horizontal="left"/>
    </xf>
    <xf numFmtId="0" fontId="0" fillId="0" borderId="0" xfId="0" applyNumberFormat="1" applyFont="1" applyFill="1" applyBorder="1" applyAlignment="1" applyProtection="1"/>
    <xf numFmtId="0" fontId="79" fillId="0" borderId="0" xfId="0" applyFont="1" applyFill="1" applyBorder="1" applyAlignment="1" applyProtection="1"/>
    <xf numFmtId="0" fontId="69" fillId="0" borderId="13" xfId="0" applyNumberFormat="1" applyFont="1" applyBorder="1" applyAlignment="1" applyProtection="1">
      <alignment horizontal="center"/>
    </xf>
    <xf numFmtId="0" fontId="0" fillId="0" borderId="0" xfId="0" applyFont="1" applyBorder="1" applyProtection="1"/>
    <xf numFmtId="0" fontId="69" fillId="0" borderId="0" xfId="0" applyFont="1" applyBorder="1" applyAlignment="1" applyProtection="1">
      <alignment horizontal="center"/>
    </xf>
    <xf numFmtId="0" fontId="69" fillId="0" borderId="0" xfId="0" applyFont="1" applyBorder="1" applyProtection="1"/>
    <xf numFmtId="0" fontId="69" fillId="0" borderId="20" xfId="0" applyFont="1" applyBorder="1" applyAlignment="1" applyProtection="1">
      <alignment horizontal="left"/>
    </xf>
    <xf numFmtId="0" fontId="79" fillId="0" borderId="13" xfId="0" applyFont="1" applyBorder="1" applyAlignment="1" applyProtection="1"/>
    <xf numFmtId="0" fontId="0" fillId="0" borderId="20" xfId="0" applyFont="1" applyBorder="1" applyAlignment="1" applyProtection="1">
      <alignment horizontal="left"/>
    </xf>
    <xf numFmtId="0" fontId="0" fillId="0" borderId="20" xfId="0" applyBorder="1" applyAlignment="1" applyProtection="1">
      <alignment horizontal="left"/>
    </xf>
    <xf numFmtId="49" fontId="0" fillId="0" borderId="20" xfId="0" applyNumberFormat="1" applyBorder="1" applyAlignment="1" applyProtection="1">
      <alignment horizontal="left"/>
    </xf>
    <xf numFmtId="49" fontId="0" fillId="0" borderId="20" xfId="0" applyNumberFormat="1" applyFont="1" applyBorder="1" applyAlignment="1" applyProtection="1">
      <alignment horizontal="left"/>
    </xf>
    <xf numFmtId="0" fontId="0" fillId="0" borderId="0" xfId="0" applyNumberFormat="1" applyFont="1" applyBorder="1" applyAlignment="1" applyProtection="1">
      <alignment horizontal="center"/>
    </xf>
    <xf numFmtId="0" fontId="124" fillId="2" borderId="1" xfId="0" applyFont="1" applyFill="1" applyBorder="1" applyAlignment="1" applyProtection="1">
      <alignment horizontal="center"/>
    </xf>
    <xf numFmtId="0" fontId="0" fillId="0" borderId="20" xfId="0" applyFont="1" applyBorder="1" applyProtection="1"/>
    <xf numFmtId="0" fontId="0" fillId="0" borderId="0" xfId="0" applyBorder="1" applyAlignment="1" applyProtection="1"/>
    <xf numFmtId="0" fontId="84" fillId="0" borderId="1" xfId="0" applyFont="1" applyBorder="1" applyAlignment="1" applyProtection="1">
      <alignment horizontal="center" vertical="center"/>
    </xf>
    <xf numFmtId="0" fontId="17" fillId="0" borderId="1" xfId="0" applyNumberFormat="1" applyFont="1" applyFill="1" applyBorder="1" applyAlignment="1" applyProtection="1">
      <alignment horizontal="center" vertical="center"/>
    </xf>
    <xf numFmtId="0" fontId="22" fillId="0" borderId="1" xfId="0" applyNumberFormat="1" applyFont="1" applyFill="1" applyBorder="1" applyAlignment="1" applyProtection="1">
      <alignment horizontal="center" vertical="center"/>
    </xf>
    <xf numFmtId="0" fontId="22" fillId="0" borderId="12" xfId="0" applyNumberFormat="1" applyFont="1" applyFill="1" applyBorder="1" applyAlignment="1" applyProtection="1">
      <alignment horizontal="center" vertical="center"/>
    </xf>
    <xf numFmtId="0" fontId="70" fillId="0" borderId="0" xfId="0" applyFont="1" applyBorder="1" applyAlignment="1" applyProtection="1"/>
    <xf numFmtId="0" fontId="125" fillId="0" borderId="0" xfId="0" applyFont="1" applyFill="1" applyBorder="1" applyAlignment="1" applyProtection="1"/>
    <xf numFmtId="0" fontId="68" fillId="0" borderId="0" xfId="0" applyFont="1" applyFill="1" applyBorder="1" applyAlignment="1" applyProtection="1"/>
    <xf numFmtId="0" fontId="81" fillId="0" borderId="0" xfId="0" applyFont="1" applyFill="1" applyBorder="1" applyAlignment="1" applyProtection="1"/>
    <xf numFmtId="0" fontId="70" fillId="0" borderId="0" xfId="0" applyFont="1" applyBorder="1" applyAlignment="1" applyProtection="1">
      <alignment horizontal="left"/>
    </xf>
    <xf numFmtId="0" fontId="63" fillId="0" borderId="20" xfId="0" applyFont="1" applyBorder="1" applyAlignment="1" applyProtection="1"/>
    <xf numFmtId="0" fontId="71" fillId="0" borderId="0" xfId="0" applyFont="1" applyBorder="1" applyAlignment="1" applyProtection="1"/>
    <xf numFmtId="0" fontId="123" fillId="0" borderId="0" xfId="0" applyFont="1" applyFill="1" applyBorder="1" applyAlignment="1" applyProtection="1"/>
    <xf numFmtId="0" fontId="72" fillId="0" borderId="0" xfId="0" applyFont="1" applyProtection="1"/>
    <xf numFmtId="0" fontId="62" fillId="0" borderId="0" xfId="0" applyFont="1" applyFill="1" applyBorder="1" applyProtection="1"/>
    <xf numFmtId="0" fontId="82" fillId="0" borderId="24" xfId="0" applyFont="1" applyBorder="1" applyAlignment="1" applyProtection="1"/>
    <xf numFmtId="0" fontId="71" fillId="0" borderId="0" xfId="0" applyFont="1" applyBorder="1" applyAlignment="1" applyProtection="1">
      <alignment horizontal="left"/>
    </xf>
    <xf numFmtId="0" fontId="66" fillId="0" borderId="6" xfId="0" applyFont="1" applyBorder="1" applyAlignment="1" applyProtection="1"/>
    <xf numFmtId="0" fontId="66" fillId="0" borderId="10" xfId="0" applyFont="1" applyBorder="1" applyAlignment="1" applyProtection="1"/>
    <xf numFmtId="0" fontId="0" fillId="8" borderId="14" xfId="0" applyFont="1" applyFill="1" applyBorder="1" applyAlignment="1" applyProtection="1"/>
    <xf numFmtId="0" fontId="0" fillId="0" borderId="6" xfId="0" applyFont="1" applyBorder="1" applyAlignment="1" applyProtection="1"/>
    <xf numFmtId="0" fontId="0" fillId="0" borderId="10" xfId="0" applyFont="1" applyBorder="1" applyAlignment="1" applyProtection="1"/>
    <xf numFmtId="0" fontId="126" fillId="0" borderId="0" xfId="0" applyFont="1" applyBorder="1" applyAlignment="1" applyProtection="1"/>
    <xf numFmtId="0" fontId="72" fillId="0" borderId="0" xfId="0" applyFont="1" applyAlignment="1" applyProtection="1"/>
    <xf numFmtId="0" fontId="62" fillId="0" borderId="0" xfId="0" applyFont="1" applyProtection="1"/>
    <xf numFmtId="0" fontId="70" fillId="0" borderId="0" xfId="0" applyFont="1" applyFill="1" applyBorder="1" applyAlignment="1" applyProtection="1"/>
    <xf numFmtId="0" fontId="62" fillId="0" borderId="0" xfId="0" applyFont="1" applyAlignment="1" applyProtection="1"/>
    <xf numFmtId="0" fontId="0" fillId="8" borderId="25" xfId="0" applyFont="1" applyFill="1" applyBorder="1" applyAlignment="1" applyProtection="1"/>
    <xf numFmtId="0" fontId="72" fillId="0" borderId="0" xfId="0" applyFont="1" applyBorder="1" applyAlignment="1" applyProtection="1"/>
    <xf numFmtId="0" fontId="79" fillId="0" borderId="6" xfId="0" applyFont="1" applyBorder="1" applyAlignment="1" applyProtection="1"/>
    <xf numFmtId="0" fontId="79" fillId="0" borderId="10" xfId="0" applyFont="1" applyBorder="1" applyAlignment="1" applyProtection="1"/>
    <xf numFmtId="0" fontId="63" fillId="0" borderId="20" xfId="0" applyFont="1" applyBorder="1" applyAlignment="1" applyProtection="1">
      <alignment vertical="center"/>
    </xf>
    <xf numFmtId="0" fontId="71" fillId="0" borderId="0" xfId="0" applyFont="1" applyBorder="1" applyAlignment="1" applyProtection="1">
      <alignment vertical="center"/>
    </xf>
    <xf numFmtId="0" fontId="71" fillId="0" borderId="0" xfId="0" applyFont="1" applyAlignment="1" applyProtection="1"/>
    <xf numFmtId="0" fontId="0" fillId="0" borderId="26" xfId="0" applyFont="1" applyBorder="1" applyProtection="1"/>
    <xf numFmtId="0" fontId="77" fillId="0" borderId="11" xfId="0" applyFont="1" applyBorder="1" applyAlignment="1" applyProtection="1">
      <alignment vertical="center" wrapText="1"/>
    </xf>
    <xf numFmtId="0" fontId="77" fillId="0" borderId="27" xfId="0" applyFont="1" applyBorder="1" applyAlignment="1" applyProtection="1">
      <alignment vertical="center" wrapText="1"/>
    </xf>
    <xf numFmtId="0" fontId="107" fillId="0" borderId="0" xfId="0" applyFont="1" applyAlignment="1" applyProtection="1"/>
    <xf numFmtId="0" fontId="77" fillId="0" borderId="28" xfId="0" applyFont="1" applyBorder="1" applyAlignment="1" applyProtection="1">
      <alignment vertical="center" wrapText="1"/>
    </xf>
    <xf numFmtId="0" fontId="77" fillId="0" borderId="7" xfId="0" applyFont="1" applyBorder="1" applyAlignment="1" applyProtection="1">
      <alignment vertical="center" wrapText="1"/>
    </xf>
    <xf numFmtId="0" fontId="77" fillId="0" borderId="8" xfId="0" applyFont="1" applyBorder="1" applyAlignment="1" applyProtection="1">
      <alignment vertical="center" wrapText="1"/>
    </xf>
    <xf numFmtId="0" fontId="127" fillId="0" borderId="0" xfId="0" applyFont="1" applyFill="1" applyBorder="1" applyAlignment="1" applyProtection="1"/>
    <xf numFmtId="0" fontId="77" fillId="0" borderId="0" xfId="0" applyFont="1" applyBorder="1" applyAlignment="1" applyProtection="1">
      <alignment vertical="center" wrapText="1"/>
    </xf>
    <xf numFmtId="0" fontId="0" fillId="0" borderId="0" xfId="0" applyFont="1" applyBorder="1" applyAlignment="1" applyProtection="1">
      <alignment vertical="center" wrapText="1"/>
    </xf>
    <xf numFmtId="0" fontId="63" fillId="0" borderId="0" xfId="0" applyFont="1" applyBorder="1" applyAlignment="1" applyProtection="1"/>
    <xf numFmtId="0" fontId="107" fillId="0" borderId="0" xfId="0" applyFont="1" applyFill="1" applyBorder="1" applyAlignment="1" applyProtection="1"/>
    <xf numFmtId="0" fontId="59" fillId="0" borderId="0" xfId="0" applyFont="1" applyFill="1" applyBorder="1" applyAlignment="1" applyProtection="1"/>
    <xf numFmtId="0" fontId="113" fillId="0" borderId="0" xfId="0" applyFont="1" applyFill="1" applyBorder="1" applyAlignment="1" applyProtection="1"/>
    <xf numFmtId="0" fontId="59" fillId="0" borderId="0" xfId="0" applyFont="1" applyFill="1" applyBorder="1" applyProtection="1"/>
    <xf numFmtId="0" fontId="59" fillId="0" borderId="0" xfId="0" applyFont="1" applyBorder="1" applyAlignment="1" applyProtection="1">
      <alignment horizontal="center"/>
    </xf>
    <xf numFmtId="0" fontId="59" fillId="0" borderId="0" xfId="0" applyFont="1" applyBorder="1" applyAlignment="1" applyProtection="1">
      <alignment horizontal="left"/>
    </xf>
    <xf numFmtId="0" fontId="0" fillId="0" borderId="14" xfId="0" applyBorder="1" applyProtection="1"/>
    <xf numFmtId="49" fontId="63" fillId="0" borderId="1" xfId="0" applyNumberFormat="1" applyFont="1" applyBorder="1" applyAlignment="1" applyProtection="1">
      <alignment horizontal="center"/>
    </xf>
    <xf numFmtId="0" fontId="0" fillId="0" borderId="1" xfId="0" applyFont="1" applyBorder="1" applyAlignment="1" applyProtection="1">
      <alignment horizontal="center" vertical="center"/>
    </xf>
    <xf numFmtId="0" fontId="63" fillId="0" borderId="1" xfId="0" applyNumberFormat="1" applyFont="1" applyBorder="1" applyAlignment="1" applyProtection="1">
      <alignment horizontal="center"/>
    </xf>
    <xf numFmtId="0" fontId="0" fillId="0" borderId="2" xfId="0" applyFont="1" applyBorder="1" applyAlignment="1" applyProtection="1">
      <alignment horizontal="center" vertical="center"/>
    </xf>
    <xf numFmtId="49" fontId="63" fillId="0" borderId="1" xfId="0" applyNumberFormat="1" applyFont="1" applyFill="1" applyBorder="1" applyAlignment="1" applyProtection="1">
      <alignment horizontal="center"/>
    </xf>
    <xf numFmtId="0" fontId="73" fillId="0" borderId="0" xfId="0" applyFont="1" applyFill="1" applyBorder="1" applyAlignment="1" applyProtection="1"/>
    <xf numFmtId="0" fontId="0" fillId="0" borderId="14" xfId="0" applyFont="1" applyFill="1" applyBorder="1" applyProtection="1"/>
    <xf numFmtId="0" fontId="0" fillId="0" borderId="0" xfId="0" applyFont="1" applyFill="1" applyAlignment="1" applyProtection="1"/>
    <xf numFmtId="0" fontId="104" fillId="0" borderId="0" xfId="0" applyFont="1" applyFill="1" applyProtection="1"/>
    <xf numFmtId="0" fontId="0" fillId="0" borderId="4" xfId="0" applyFont="1" applyBorder="1" applyAlignment="1" applyProtection="1">
      <alignment horizontal="center" vertical="center"/>
    </xf>
    <xf numFmtId="0" fontId="75" fillId="0" borderId="0" xfId="0" applyFont="1" applyFill="1" applyBorder="1" applyAlignment="1" applyProtection="1">
      <alignment vertical="center" wrapText="1"/>
    </xf>
    <xf numFmtId="0" fontId="76" fillId="0" borderId="0" xfId="0" applyFont="1" applyFill="1" applyAlignment="1" applyProtection="1">
      <alignment horizontal="center"/>
    </xf>
    <xf numFmtId="0" fontId="63" fillId="0" borderId="1" xfId="0" applyNumberFormat="1" applyFont="1" applyBorder="1" applyAlignment="1" applyProtection="1">
      <alignment horizontal="center" vertical="center"/>
    </xf>
    <xf numFmtId="0" fontId="0" fillId="0" borderId="14" xfId="0" applyFill="1" applyBorder="1" applyProtection="1"/>
    <xf numFmtId="0" fontId="78" fillId="0" borderId="1" xfId="0" applyNumberFormat="1" applyFont="1" applyBorder="1" applyAlignment="1" applyProtection="1">
      <alignment horizontal="center"/>
    </xf>
    <xf numFmtId="0" fontId="78" fillId="0" borderId="1" xfId="0" applyNumberFormat="1" applyFont="1" applyBorder="1" applyAlignment="1" applyProtection="1">
      <alignment horizontal="left"/>
    </xf>
    <xf numFmtId="0" fontId="0" fillId="0" borderId="56" xfId="0" applyFont="1" applyBorder="1" applyAlignment="1" applyProtection="1"/>
    <xf numFmtId="0" fontId="54" fillId="0" borderId="0" xfId="0" applyFont="1" applyFill="1" applyBorder="1" applyAlignment="1" applyProtection="1">
      <alignment horizontal="center"/>
    </xf>
    <xf numFmtId="0" fontId="54" fillId="0" borderId="0" xfId="0" applyFont="1" applyProtection="1"/>
    <xf numFmtId="0" fontId="128" fillId="0" borderId="0" xfId="0" applyFont="1" applyProtection="1"/>
    <xf numFmtId="0" fontId="59" fillId="0" borderId="0" xfId="0" applyFont="1" applyAlignment="1" applyProtection="1">
      <alignment horizontal="center"/>
    </xf>
    <xf numFmtId="0" fontId="129" fillId="0" borderId="0" xfId="0" applyFont="1" applyAlignment="1" applyProtection="1">
      <alignment horizontal="left" indent="2"/>
    </xf>
    <xf numFmtId="0" fontId="96" fillId="0" borderId="0" xfId="0" applyFont="1" applyAlignment="1" applyProtection="1">
      <alignment horizontal="left" indent="2"/>
    </xf>
    <xf numFmtId="0" fontId="130" fillId="0" borderId="0" xfId="0" applyFont="1" applyAlignment="1" applyProtection="1">
      <alignment horizontal="left" indent="2"/>
    </xf>
    <xf numFmtId="0" fontId="59" fillId="0" borderId="0" xfId="0" applyFont="1" applyFill="1" applyAlignment="1" applyProtection="1">
      <alignment horizontal="center"/>
    </xf>
    <xf numFmtId="0" fontId="53" fillId="7" borderId="12" xfId="2" applyFont="1" applyFill="1" applyBorder="1" applyAlignment="1" applyProtection="1">
      <alignment horizontal="center"/>
      <protection locked="0"/>
    </xf>
    <xf numFmtId="0" fontId="0" fillId="8" borderId="14" xfId="0" applyFill="1" applyBorder="1" applyProtection="1"/>
    <xf numFmtId="0" fontId="0" fillId="0" borderId="29" xfId="0" applyFont="1" applyBorder="1" applyAlignment="1" applyProtection="1"/>
    <xf numFmtId="0" fontId="71" fillId="0" borderId="14" xfId="0" applyFont="1" applyFill="1" applyBorder="1" applyAlignment="1" applyProtection="1">
      <alignment horizontal="center"/>
    </xf>
    <xf numFmtId="0" fontId="0" fillId="0" borderId="57" xfId="0" applyFont="1" applyBorder="1" applyProtection="1"/>
    <xf numFmtId="0" fontId="123" fillId="0" borderId="0" xfId="0" applyFont="1" applyAlignment="1" applyProtection="1"/>
    <xf numFmtId="0" fontId="76" fillId="0" borderId="0" xfId="0" applyFont="1" applyAlignment="1" applyProtection="1">
      <alignment horizontal="center" vertical="center"/>
    </xf>
    <xf numFmtId="0" fontId="0" fillId="0" borderId="9" xfId="0" applyFont="1" applyBorder="1" applyAlignment="1" applyProtection="1">
      <alignment vertical="center" wrapText="1"/>
    </xf>
    <xf numFmtId="0" fontId="68" fillId="0" borderId="0" xfId="0" applyFont="1" applyFill="1" applyBorder="1" applyAlignment="1" applyProtection="1">
      <alignment horizontal="left"/>
    </xf>
    <xf numFmtId="0" fontId="75" fillId="0" borderId="0" xfId="0" applyFont="1" applyFill="1" applyBorder="1" applyAlignment="1" applyProtection="1">
      <alignment horizontal="left"/>
    </xf>
    <xf numFmtId="0" fontId="59" fillId="0" borderId="0" xfId="0" applyFont="1" applyFill="1" applyProtection="1"/>
    <xf numFmtId="0" fontId="131" fillId="0" borderId="0" xfId="0" applyFont="1" applyFill="1" applyAlignment="1" applyProtection="1">
      <alignment vertical="center"/>
    </xf>
    <xf numFmtId="0" fontId="132" fillId="0" borderId="0" xfId="0" applyFont="1" applyProtection="1"/>
    <xf numFmtId="0" fontId="131" fillId="0" borderId="0" xfId="0" applyFont="1" applyFill="1" applyProtection="1"/>
    <xf numFmtId="0" fontId="133" fillId="0" borderId="0" xfId="0" applyFont="1" applyAlignment="1" applyProtection="1">
      <alignment horizontal="left" indent="2"/>
    </xf>
    <xf numFmtId="0" fontId="128" fillId="0" borderId="0" xfId="0" applyFont="1" applyAlignment="1" applyProtection="1">
      <alignment horizontal="left" indent="2"/>
    </xf>
    <xf numFmtId="0" fontId="128" fillId="0" borderId="0" xfId="0" applyFont="1" applyAlignment="1" applyProtection="1">
      <alignment horizontal="left" indent="5"/>
    </xf>
    <xf numFmtId="0" fontId="128" fillId="0" borderId="0" xfId="0" applyFont="1" applyAlignment="1" applyProtection="1">
      <alignment horizontal="left"/>
    </xf>
    <xf numFmtId="0" fontId="128" fillId="0" borderId="0" xfId="0" applyNumberFormat="1" applyFont="1" applyProtection="1"/>
    <xf numFmtId="0" fontId="128" fillId="0" borderId="0" xfId="0" applyFont="1" applyAlignment="1" applyProtection="1">
      <alignment horizontal="left" indent="10"/>
    </xf>
    <xf numFmtId="0" fontId="99" fillId="0" borderId="0" xfId="0" applyFont="1" applyFill="1" applyProtection="1"/>
    <xf numFmtId="0" fontId="0" fillId="0" borderId="3" xfId="0" applyFont="1" applyBorder="1" applyAlignment="1" applyProtection="1">
      <alignment horizontal="center" vertical="center"/>
    </xf>
    <xf numFmtId="0" fontId="104" fillId="0" borderId="0" xfId="0" applyFont="1" applyAlignment="1" applyProtection="1">
      <alignment horizontal="center"/>
    </xf>
    <xf numFmtId="0" fontId="78" fillId="0" borderId="0" xfId="0" applyFont="1" applyBorder="1" applyAlignment="1" applyProtection="1"/>
    <xf numFmtId="49" fontId="0" fillId="0" borderId="1" xfId="0" applyNumberFormat="1" applyBorder="1" applyAlignment="1" applyProtection="1">
      <alignment horizontal="center"/>
    </xf>
    <xf numFmtId="0" fontId="0" fillId="0" borderId="9" xfId="0" applyFont="1" applyBorder="1" applyAlignment="1" applyProtection="1">
      <alignment vertical="center"/>
    </xf>
    <xf numFmtId="0" fontId="78" fillId="0" borderId="0" xfId="0" applyFont="1" applyAlignment="1" applyProtection="1"/>
    <xf numFmtId="0" fontId="121" fillId="0" borderId="0" xfId="0" applyFont="1" applyAlignment="1" applyProtection="1">
      <alignment horizontal="left"/>
    </xf>
    <xf numFmtId="0" fontId="0" fillId="0" borderId="0" xfId="0" applyFill="1" applyAlignment="1" applyProtection="1"/>
    <xf numFmtId="0" fontId="0" fillId="0" borderId="3" xfId="0" applyFont="1" applyBorder="1" applyAlignment="1" applyProtection="1"/>
    <xf numFmtId="0" fontId="59" fillId="6" borderId="10" xfId="0" applyFont="1" applyFill="1" applyBorder="1" applyAlignment="1" applyProtection="1">
      <alignment horizontal="center"/>
    </xf>
    <xf numFmtId="0" fontId="97" fillId="6" borderId="10" xfId="0" applyFont="1" applyFill="1" applyBorder="1" applyAlignment="1" applyProtection="1">
      <alignment horizontal="center"/>
    </xf>
    <xf numFmtId="0" fontId="0" fillId="0" borderId="11" xfId="0" applyFont="1" applyFill="1" applyBorder="1" applyAlignment="1" applyProtection="1">
      <alignment horizontal="left"/>
    </xf>
    <xf numFmtId="0" fontId="0" fillId="0" borderId="11" xfId="0" applyFont="1" applyFill="1" applyBorder="1" applyAlignment="1" applyProtection="1">
      <alignment horizontal="center" vertical="center"/>
    </xf>
    <xf numFmtId="0" fontId="0" fillId="0" borderId="7" xfId="0" applyFont="1" applyFill="1" applyBorder="1" applyAlignment="1" applyProtection="1">
      <alignment horizontal="center" vertical="center"/>
    </xf>
    <xf numFmtId="0" fontId="80" fillId="7" borderId="1" xfId="0" applyFont="1" applyFill="1" applyBorder="1" applyAlignment="1" applyProtection="1">
      <alignment horizontal="center" vertical="center"/>
    </xf>
    <xf numFmtId="0" fontId="75" fillId="0" borderId="0" xfId="0" applyFont="1" applyBorder="1" applyAlignment="1" applyProtection="1">
      <alignment horizontal="left" vertical="center" wrapText="1"/>
    </xf>
    <xf numFmtId="0" fontId="0" fillId="0" borderId="0" xfId="0" applyFont="1" applyBorder="1" applyAlignment="1" applyProtection="1">
      <alignment horizontal="center" vertical="center"/>
    </xf>
    <xf numFmtId="0" fontId="123" fillId="0" borderId="58" xfId="0" applyNumberFormat="1" applyFont="1" applyBorder="1" applyAlignment="1" applyProtection="1">
      <alignment horizontal="center" vertical="center"/>
    </xf>
    <xf numFmtId="0" fontId="123" fillId="0" borderId="59" xfId="0" applyNumberFormat="1" applyFont="1" applyBorder="1" applyAlignment="1" applyProtection="1">
      <alignment vertical="center"/>
    </xf>
    <xf numFmtId="0" fontId="83" fillId="0" borderId="60" xfId="0" applyNumberFormat="1" applyFont="1" applyBorder="1" applyAlignment="1" applyProtection="1">
      <alignment vertical="center"/>
    </xf>
    <xf numFmtId="0" fontId="0" fillId="0" borderId="56" xfId="0" applyFont="1" applyFill="1" applyBorder="1" applyProtection="1"/>
    <xf numFmtId="0" fontId="83" fillId="0" borderId="4" xfId="0" applyNumberFormat="1" applyFont="1" applyBorder="1" applyAlignment="1" applyProtection="1">
      <alignment vertical="center"/>
    </xf>
    <xf numFmtId="0" fontId="0" fillId="0" borderId="1" xfId="0" applyNumberFormat="1" applyFont="1" applyBorder="1" applyAlignment="1" applyProtection="1"/>
    <xf numFmtId="0" fontId="0" fillId="0" borderId="15" xfId="0" applyFont="1" applyBorder="1" applyProtection="1"/>
    <xf numFmtId="0" fontId="0" fillId="0" borderId="2" xfId="0" applyFont="1" applyBorder="1" applyAlignment="1" applyProtection="1">
      <alignment horizontal="left"/>
    </xf>
    <xf numFmtId="0" fontId="0" fillId="0" borderId="1" xfId="0" applyFont="1" applyBorder="1" applyProtection="1"/>
    <xf numFmtId="0" fontId="0" fillId="0" borderId="11" xfId="0" applyFont="1" applyFill="1" applyBorder="1" applyAlignment="1" applyProtection="1">
      <alignment horizontal="center"/>
    </xf>
    <xf numFmtId="0" fontId="0" fillId="0" borderId="3" xfId="0" applyFont="1" applyBorder="1" applyAlignment="1" applyProtection="1">
      <alignment horizontal="left"/>
    </xf>
    <xf numFmtId="0" fontId="0" fillId="8" borderId="16" xfId="0" applyFill="1" applyBorder="1" applyProtection="1"/>
    <xf numFmtId="49" fontId="0" fillId="0" borderId="3" xfId="0" applyNumberFormat="1" applyBorder="1" applyAlignment="1" applyProtection="1">
      <alignment horizontal="center"/>
    </xf>
    <xf numFmtId="0" fontId="75" fillId="0" borderId="11" xfId="0" applyFont="1" applyFill="1" applyBorder="1" applyAlignment="1" applyProtection="1">
      <alignment horizontal="center"/>
    </xf>
    <xf numFmtId="0" fontId="134" fillId="0" borderId="0" xfId="0" applyFont="1" applyBorder="1" applyAlignment="1" applyProtection="1">
      <alignment horizontal="left"/>
    </xf>
    <xf numFmtId="0" fontId="75" fillId="0" borderId="0" xfId="0" applyFont="1" applyFill="1" applyBorder="1" applyAlignment="1" applyProtection="1">
      <alignment horizontal="center"/>
    </xf>
    <xf numFmtId="0" fontId="62" fillId="0" borderId="0" xfId="0" applyFont="1" applyBorder="1" applyAlignment="1" applyProtection="1">
      <alignment vertical="center"/>
    </xf>
    <xf numFmtId="0" fontId="62" fillId="0" borderId="9" xfId="0" applyFont="1" applyBorder="1" applyAlignment="1" applyProtection="1">
      <alignment horizontal="left" wrapText="1"/>
    </xf>
    <xf numFmtId="0" fontId="0" fillId="0" borderId="11" xfId="0" applyFont="1" applyBorder="1" applyAlignment="1" applyProtection="1">
      <alignment horizontal="center" vertical="center"/>
    </xf>
    <xf numFmtId="0" fontId="0" fillId="0" borderId="4" xfId="0" applyFont="1" applyBorder="1" applyAlignment="1" applyProtection="1">
      <alignment horizontal="left"/>
    </xf>
    <xf numFmtId="0" fontId="0" fillId="0" borderId="6" xfId="0" applyFont="1" applyFill="1" applyBorder="1" applyAlignment="1" applyProtection="1">
      <alignment horizontal="center" vertical="center"/>
    </xf>
    <xf numFmtId="0" fontId="0" fillId="0" borderId="1" xfId="0" applyNumberFormat="1" applyFill="1" applyBorder="1" applyAlignment="1" applyProtection="1">
      <alignment horizontal="center"/>
    </xf>
    <xf numFmtId="0" fontId="75" fillId="0" borderId="9" xfId="0" applyFont="1" applyBorder="1" applyAlignment="1" applyProtection="1">
      <alignment horizontal="left" vertical="center" wrapText="1"/>
    </xf>
    <xf numFmtId="0" fontId="0" fillId="0" borderId="9" xfId="0" applyFont="1" applyBorder="1" applyAlignment="1" applyProtection="1"/>
    <xf numFmtId="0" fontId="125" fillId="0" borderId="9" xfId="0" applyFont="1" applyBorder="1" applyAlignment="1" applyProtection="1">
      <alignment horizontal="left" vertical="center" wrapText="1"/>
    </xf>
    <xf numFmtId="0" fontId="63" fillId="8" borderId="15" xfId="0" applyFont="1" applyFill="1" applyBorder="1" applyAlignment="1" applyProtection="1">
      <alignment horizontal="left"/>
      <protection locked="0"/>
    </xf>
    <xf numFmtId="0" fontId="78" fillId="8" borderId="15" xfId="0" applyFont="1" applyFill="1" applyBorder="1" applyAlignment="1" applyProtection="1">
      <protection locked="0"/>
    </xf>
    <xf numFmtId="0" fontId="65" fillId="8" borderId="15" xfId="0" applyFont="1" applyFill="1" applyBorder="1" applyAlignment="1" applyProtection="1">
      <protection locked="0"/>
    </xf>
    <xf numFmtId="0" fontId="65" fillId="8" borderId="31" xfId="0" applyFont="1" applyFill="1" applyBorder="1" applyAlignment="1" applyProtection="1">
      <protection locked="0"/>
    </xf>
    <xf numFmtId="0" fontId="63" fillId="8" borderId="15" xfId="0" applyFont="1" applyFill="1" applyBorder="1" applyAlignment="1" applyProtection="1">
      <protection locked="0"/>
    </xf>
    <xf numFmtId="0" fontId="63" fillId="8" borderId="31" xfId="0" applyFont="1" applyFill="1" applyBorder="1" applyAlignment="1" applyProtection="1">
      <protection locked="0"/>
    </xf>
    <xf numFmtId="0" fontId="0" fillId="8" borderId="31" xfId="0" applyFont="1" applyFill="1" applyBorder="1" applyAlignment="1" applyProtection="1">
      <protection locked="0"/>
    </xf>
    <xf numFmtId="0" fontId="63" fillId="8" borderId="32" xfId="0" applyFont="1" applyFill="1" applyBorder="1" applyAlignment="1" applyProtection="1">
      <alignment horizontal="left"/>
      <protection locked="0"/>
    </xf>
    <xf numFmtId="0" fontId="63" fillId="8" borderId="15" xfId="0" applyFont="1" applyFill="1" applyBorder="1" applyAlignment="1" applyProtection="1">
      <alignment horizontal="left"/>
      <protection locked="0"/>
    </xf>
    <xf numFmtId="0" fontId="63" fillId="0" borderId="33" xfId="0" applyFont="1" applyBorder="1" applyAlignment="1" applyProtection="1">
      <alignment vertical="center"/>
    </xf>
    <xf numFmtId="0" fontId="0" fillId="0" borderId="9" xfId="0" applyBorder="1" applyAlignment="1" applyProtection="1"/>
    <xf numFmtId="0" fontId="77" fillId="0" borderId="9" xfId="0" applyFont="1" applyBorder="1" applyAlignment="1" applyProtection="1"/>
    <xf numFmtId="0" fontId="122" fillId="0" borderId="9" xfId="0" applyFont="1" applyBorder="1" applyAlignment="1" applyProtection="1"/>
    <xf numFmtId="0" fontId="125" fillId="0" borderId="9" xfId="0" applyFont="1" applyBorder="1" applyAlignment="1" applyProtection="1">
      <alignment wrapText="1"/>
    </xf>
    <xf numFmtId="0" fontId="77" fillId="0" borderId="9" xfId="0" applyFont="1" applyBorder="1" applyAlignment="1" applyProtection="1">
      <alignment vertical="center" wrapText="1"/>
    </xf>
    <xf numFmtId="0" fontId="122" fillId="0" borderId="7" xfId="0" applyFont="1" applyBorder="1" applyAlignment="1" applyProtection="1"/>
    <xf numFmtId="0" fontId="82" fillId="0" borderId="0" xfId="0" applyFont="1" applyProtection="1"/>
    <xf numFmtId="0" fontId="122" fillId="0" borderId="0" xfId="0" applyFont="1" applyAlignment="1" applyProtection="1"/>
    <xf numFmtId="0" fontId="63" fillId="0" borderId="9" xfId="0" applyFont="1" applyBorder="1" applyAlignment="1" applyProtection="1">
      <alignment vertical="center" wrapText="1"/>
    </xf>
    <xf numFmtId="0" fontId="122" fillId="0" borderId="0" xfId="0" applyFont="1" applyFill="1" applyBorder="1" applyAlignment="1" applyProtection="1">
      <alignment vertical="center" wrapText="1"/>
    </xf>
    <xf numFmtId="0" fontId="122" fillId="0" borderId="0" xfId="0" applyFont="1" applyProtection="1"/>
    <xf numFmtId="0" fontId="61" fillId="0" borderId="0" xfId="0" applyFont="1" applyProtection="1"/>
    <xf numFmtId="49" fontId="0" fillId="0" borderId="20" xfId="0" applyNumberFormat="1" applyFont="1" applyBorder="1" applyAlignment="1" applyProtection="1">
      <alignment horizontal="center"/>
    </xf>
    <xf numFmtId="0" fontId="122" fillId="0" borderId="8" xfId="0" applyFont="1" applyBorder="1" applyAlignment="1" applyProtection="1"/>
    <xf numFmtId="0" fontId="122" fillId="0" borderId="7" xfId="0" applyFont="1" applyFill="1" applyBorder="1" applyAlignment="1" applyProtection="1">
      <alignment horizontal="left"/>
    </xf>
    <xf numFmtId="0" fontId="0" fillId="0" borderId="7" xfId="0" applyFont="1" applyBorder="1" applyAlignment="1" applyProtection="1">
      <alignment horizontal="center" vertical="center"/>
    </xf>
    <xf numFmtId="0" fontId="122" fillId="0" borderId="0" xfId="0" applyFont="1" applyAlignment="1" applyProtection="1">
      <alignment horizontal="left"/>
    </xf>
    <xf numFmtId="0" fontId="104" fillId="0" borderId="0" xfId="0" applyFont="1" applyBorder="1" applyProtection="1"/>
    <xf numFmtId="0" fontId="77" fillId="0" borderId="4" xfId="0" applyFont="1" applyBorder="1" applyAlignment="1" applyProtection="1">
      <alignment horizontal="left"/>
    </xf>
    <xf numFmtId="49" fontId="0" fillId="0" borderId="23" xfId="0" applyNumberFormat="1" applyFont="1" applyBorder="1" applyAlignment="1" applyProtection="1">
      <alignment horizontal="center"/>
    </xf>
    <xf numFmtId="0" fontId="0" fillId="0" borderId="34" xfId="0" applyFill="1" applyBorder="1" applyProtection="1"/>
    <xf numFmtId="0" fontId="0" fillId="0" borderId="35" xfId="0" applyFill="1" applyBorder="1" applyProtection="1"/>
    <xf numFmtId="0" fontId="59" fillId="14" borderId="36" xfId="0" applyFont="1" applyFill="1" applyBorder="1" applyAlignment="1" applyProtection="1">
      <alignment horizontal="center"/>
    </xf>
    <xf numFmtId="165" fontId="90" fillId="0" borderId="0" xfId="1" applyNumberFormat="1" applyFont="1" applyBorder="1" applyAlignment="1" applyProtection="1">
      <alignment horizontal="center" vertical="center"/>
    </xf>
    <xf numFmtId="0" fontId="40" fillId="0" borderId="0" xfId="0" applyNumberFormat="1" applyFont="1" applyBorder="1" applyAlignment="1" applyProtection="1">
      <alignment horizontal="center"/>
    </xf>
    <xf numFmtId="0" fontId="40" fillId="0" borderId="0" xfId="0" applyNumberFormat="1" applyFont="1" applyBorder="1" applyAlignment="1" applyProtection="1">
      <alignment horizontal="left"/>
    </xf>
    <xf numFmtId="0" fontId="0" fillId="0" borderId="0" xfId="0" applyFont="1" applyBorder="1" applyAlignment="1" applyProtection="1">
      <alignment horizontal="right"/>
    </xf>
    <xf numFmtId="0" fontId="0" fillId="0" borderId="0" xfId="0" applyFont="1" applyBorder="1" applyAlignment="1" applyProtection="1">
      <alignment horizontal="center"/>
    </xf>
    <xf numFmtId="0" fontId="0" fillId="0" borderId="13" xfId="0" applyFont="1" applyBorder="1" applyProtection="1"/>
    <xf numFmtId="0" fontId="0" fillId="0" borderId="0" xfId="0" applyFont="1" applyBorder="1" applyProtection="1"/>
    <xf numFmtId="0" fontId="63" fillId="8" borderId="15" xfId="0" applyFont="1" applyFill="1" applyBorder="1" applyAlignment="1" applyProtection="1">
      <alignment horizontal="left"/>
      <protection locked="0"/>
    </xf>
    <xf numFmtId="0" fontId="149" fillId="0" borderId="0" xfId="0" applyFont="1" applyProtection="1"/>
    <xf numFmtId="0" fontId="149" fillId="0" borderId="0" xfId="0" applyFont="1" applyBorder="1" applyProtection="1"/>
    <xf numFmtId="0" fontId="62" fillId="0" borderId="0" xfId="0" applyFont="1" applyBorder="1" applyProtection="1"/>
    <xf numFmtId="0" fontId="113" fillId="0" borderId="0" xfId="0" applyFont="1" applyAlignment="1" applyProtection="1">
      <alignment horizontal="center"/>
    </xf>
    <xf numFmtId="0" fontId="0" fillId="0" borderId="0" xfId="0"/>
    <xf numFmtId="0" fontId="59" fillId="0" borderId="0" xfId="0" applyFont="1" applyFill="1" applyBorder="1" applyProtection="1"/>
    <xf numFmtId="0" fontId="136" fillId="0" borderId="0" xfId="0" applyFont="1" applyAlignment="1">
      <alignment horizontal="centerContinuous"/>
    </xf>
    <xf numFmtId="0" fontId="0" fillId="0" borderId="0" xfId="0" applyAlignment="1">
      <alignment horizontal="centerContinuous"/>
    </xf>
    <xf numFmtId="0" fontId="137" fillId="0" borderId="0" xfId="0" applyFont="1" applyAlignment="1">
      <alignment horizontal="centerContinuous" readingOrder="1"/>
    </xf>
    <xf numFmtId="0" fontId="111" fillId="0" borderId="0" xfId="0" applyFont="1"/>
    <xf numFmtId="0" fontId="101" fillId="0" borderId="0" xfId="0" applyFont="1" applyAlignment="1">
      <alignment horizontal="left"/>
    </xf>
    <xf numFmtId="0" fontId="139" fillId="0" borderId="0" xfId="0" applyFont="1"/>
    <xf numFmtId="0" fontId="93" fillId="0" borderId="0" xfId="0" applyFont="1"/>
    <xf numFmtId="0" fontId="0" fillId="15" borderId="0" xfId="0" applyFill="1" applyBorder="1"/>
    <xf numFmtId="0" fontId="101" fillId="0" borderId="0" xfId="0" applyFont="1"/>
    <xf numFmtId="0" fontId="103" fillId="15" borderId="0" xfId="0" applyFont="1" applyFill="1" applyBorder="1" applyProtection="1"/>
    <xf numFmtId="49" fontId="90" fillId="15" borderId="0" xfId="0" applyNumberFormat="1" applyFont="1" applyFill="1" applyBorder="1" applyAlignment="1" applyProtection="1">
      <alignment horizontal="center"/>
      <protection locked="0"/>
    </xf>
    <xf numFmtId="0" fontId="5" fillId="15" borderId="0" xfId="0" applyFont="1" applyFill="1" applyAlignment="1">
      <alignment horizontal="left"/>
    </xf>
    <xf numFmtId="0" fontId="111" fillId="15" borderId="0" xfId="0" applyFont="1" applyFill="1"/>
    <xf numFmtId="0" fontId="0" fillId="15" borderId="0" xfId="0" applyFill="1"/>
    <xf numFmtId="0" fontId="0" fillId="15" borderId="0" xfId="0" applyFill="1" applyAlignment="1">
      <alignment horizontal="center"/>
    </xf>
    <xf numFmtId="0" fontId="111" fillId="15" borderId="0" xfId="0" applyNumberFormat="1" applyFont="1" applyFill="1" applyAlignment="1">
      <alignment horizontal="left"/>
    </xf>
    <xf numFmtId="0" fontId="111" fillId="15" borderId="0" xfId="0" applyFont="1" applyFill="1" applyAlignment="1">
      <alignment horizontal="left"/>
    </xf>
    <xf numFmtId="49" fontId="0" fillId="15" borderId="0" xfId="0" applyNumberFormat="1" applyFill="1" applyBorder="1" applyAlignment="1" applyProtection="1">
      <alignment horizontal="center"/>
      <protection locked="0"/>
    </xf>
    <xf numFmtId="0" fontId="111" fillId="15" borderId="0" xfId="0" applyFont="1" applyFill="1" applyBorder="1" applyAlignment="1">
      <alignment horizontal="center"/>
    </xf>
    <xf numFmtId="49" fontId="111" fillId="15" borderId="0" xfId="0" applyNumberFormat="1" applyFont="1" applyFill="1" applyBorder="1" applyAlignment="1" applyProtection="1">
      <alignment horizontal="center"/>
      <protection locked="0"/>
    </xf>
    <xf numFmtId="0" fontId="0" fillId="15" borderId="0" xfId="0" applyFont="1" applyFill="1"/>
    <xf numFmtId="44" fontId="111" fillId="15" borderId="0" xfId="1" applyFont="1" applyFill="1"/>
    <xf numFmtId="6" fontId="138" fillId="15" borderId="0" xfId="0" applyNumberFormat="1" applyFont="1" applyFill="1" applyAlignment="1">
      <alignment horizontal="left"/>
    </xf>
    <xf numFmtId="49" fontId="0" fillId="0" borderId="0" xfId="0" applyNumberFormat="1" applyBorder="1" applyAlignment="1"/>
    <xf numFmtId="0" fontId="0" fillId="15" borderId="0" xfId="0" applyFill="1" applyProtection="1">
      <protection locked="0"/>
    </xf>
    <xf numFmtId="0" fontId="90" fillId="15" borderId="0" xfId="0" applyFont="1" applyFill="1" applyBorder="1" applyAlignment="1" applyProtection="1">
      <alignment horizontal="center"/>
      <protection locked="0"/>
    </xf>
    <xf numFmtId="0" fontId="71" fillId="0" borderId="0" xfId="0" applyFont="1" applyFill="1" applyBorder="1" applyAlignment="1" applyProtection="1"/>
    <xf numFmtId="0" fontId="0" fillId="0" borderId="0" xfId="0" applyFont="1" applyAlignment="1" applyProtection="1">
      <alignment horizontal="left"/>
    </xf>
    <xf numFmtId="0" fontId="0" fillId="0" borderId="1" xfId="0" applyFont="1" applyBorder="1" applyAlignment="1" applyProtection="1">
      <alignment horizontal="center"/>
    </xf>
    <xf numFmtId="0" fontId="0" fillId="0" borderId="9" xfId="0" applyFont="1" applyBorder="1" applyAlignment="1" applyProtection="1"/>
    <xf numFmtId="0" fontId="63" fillId="7" borderId="1" xfId="0" applyFont="1" applyFill="1" applyBorder="1" applyAlignment="1" applyProtection="1">
      <alignment horizontal="center"/>
      <protection locked="0"/>
    </xf>
    <xf numFmtId="0" fontId="71" fillId="8" borderId="30" xfId="0" applyFont="1" applyFill="1" applyBorder="1" applyAlignment="1" applyProtection="1"/>
    <xf numFmtId="0" fontId="71" fillId="8" borderId="6" xfId="0" applyFont="1" applyFill="1" applyBorder="1" applyAlignment="1" applyProtection="1"/>
    <xf numFmtId="0" fontId="0" fillId="0" borderId="0" xfId="0" applyFont="1" applyBorder="1" applyProtection="1"/>
    <xf numFmtId="0" fontId="40" fillId="0" borderId="0" xfId="0" applyNumberFormat="1" applyFont="1" applyBorder="1" applyAlignment="1" applyProtection="1">
      <alignment vertical="top" wrapText="1"/>
    </xf>
    <xf numFmtId="49" fontId="0" fillId="0" borderId="0" xfId="0" applyNumberFormat="1" applyProtection="1"/>
    <xf numFmtId="49" fontId="93" fillId="0" borderId="0" xfId="0" applyNumberFormat="1" applyFont="1" applyAlignment="1" applyProtection="1">
      <alignment readingOrder="1"/>
    </xf>
    <xf numFmtId="49" fontId="93" fillId="0" borderId="0" xfId="0" applyNumberFormat="1" applyFont="1" applyAlignment="1" applyProtection="1">
      <alignment horizontal="center" readingOrder="1"/>
    </xf>
    <xf numFmtId="0" fontId="7" fillId="0" borderId="0" xfId="0" applyFont="1" applyAlignment="1" applyProtection="1">
      <alignment readingOrder="1"/>
    </xf>
    <xf numFmtId="0" fontId="117" fillId="0" borderId="0" xfId="0" applyFont="1" applyFill="1" applyBorder="1" applyAlignment="1" applyProtection="1">
      <alignment horizontal="center" vertical="top" wrapText="1"/>
    </xf>
    <xf numFmtId="0" fontId="118" fillId="0" borderId="0" xfId="0" applyFont="1" applyFill="1" applyBorder="1" applyAlignment="1" applyProtection="1">
      <alignment horizontal="left" vertical="top" wrapText="1"/>
    </xf>
    <xf numFmtId="0" fontId="116" fillId="0" borderId="0" xfId="0" applyFont="1" applyAlignment="1" applyProtection="1">
      <alignment vertical="top" wrapText="1"/>
    </xf>
    <xf numFmtId="0" fontId="90" fillId="0" borderId="0" xfId="0" applyNumberFormat="1" applyFont="1" applyBorder="1" applyAlignment="1" applyProtection="1">
      <alignment vertical="top" wrapText="1"/>
    </xf>
    <xf numFmtId="0" fontId="90" fillId="0" borderId="0" xfId="5" applyFont="1" applyFill="1" applyBorder="1" applyProtection="1"/>
    <xf numFmtId="0" fontId="40" fillId="0" borderId="0" xfId="5" applyNumberFormat="1" applyFont="1" applyFill="1" applyBorder="1" applyAlignment="1" applyProtection="1"/>
    <xf numFmtId="0" fontId="152" fillId="0" borderId="0" xfId="5" applyNumberFormat="1" applyFont="1" applyFill="1" applyBorder="1" applyAlignment="1" applyProtection="1"/>
    <xf numFmtId="6" fontId="90" fillId="0" borderId="0" xfId="0" applyNumberFormat="1" applyFont="1" applyAlignment="1" applyProtection="1">
      <alignment horizontal="center"/>
    </xf>
    <xf numFmtId="6" fontId="90" fillId="0" borderId="0" xfId="0" applyNumberFormat="1" applyFont="1" applyAlignment="1" applyProtection="1">
      <alignment horizontal="left"/>
    </xf>
    <xf numFmtId="0" fontId="40" fillId="0" borderId="7" xfId="0" applyFont="1" applyBorder="1" applyAlignment="1" applyProtection="1">
      <alignment horizontal="left" readingOrder="1"/>
    </xf>
    <xf numFmtId="0" fontId="90" fillId="0" borderId="7" xfId="0" applyFont="1" applyBorder="1" applyProtection="1"/>
    <xf numFmtId="0" fontId="90" fillId="0" borderId="7" xfId="0" applyNumberFormat="1" applyFont="1" applyBorder="1" applyAlignment="1" applyProtection="1">
      <alignment horizontal="left"/>
    </xf>
    <xf numFmtId="0" fontId="90" fillId="0" borderId="0" xfId="0" applyFont="1"/>
    <xf numFmtId="0" fontId="153" fillId="0" borderId="0" xfId="0" applyFont="1" applyProtection="1"/>
    <xf numFmtId="0" fontId="154" fillId="0" borderId="0" xfId="0" applyFont="1" applyAlignment="1" applyProtection="1">
      <alignment horizontal="center"/>
    </xf>
    <xf numFmtId="0" fontId="154" fillId="0" borderId="0" xfId="0" applyFont="1" applyAlignment="1" applyProtection="1"/>
    <xf numFmtId="0" fontId="92" fillId="0" borderId="0" xfId="0" applyFont="1" applyAlignment="1" applyProtection="1"/>
    <xf numFmtId="0" fontId="71" fillId="8" borderId="30" xfId="0" applyFont="1" applyFill="1" applyBorder="1" applyAlignment="1" applyProtection="1">
      <alignment vertical="center"/>
    </xf>
    <xf numFmtId="0" fontId="71" fillId="8" borderId="6" xfId="0" applyFont="1" applyFill="1" applyBorder="1" applyAlignment="1" applyProtection="1">
      <alignment vertical="center"/>
    </xf>
    <xf numFmtId="49" fontId="79" fillId="8" borderId="32" xfId="0" applyNumberFormat="1" applyFont="1" applyFill="1" applyBorder="1" applyAlignment="1" applyProtection="1">
      <alignment horizontal="right" vertical="center"/>
    </xf>
    <xf numFmtId="0" fontId="90" fillId="0" borderId="6" xfId="0" applyFont="1" applyBorder="1" applyProtection="1"/>
    <xf numFmtId="0" fontId="39" fillId="0" borderId="0" xfId="0" applyNumberFormat="1" applyFont="1" applyBorder="1" applyAlignment="1" applyProtection="1"/>
    <xf numFmtId="0" fontId="151" fillId="0" borderId="0" xfId="0" applyFont="1" applyBorder="1" applyProtection="1"/>
    <xf numFmtId="0" fontId="71" fillId="0" borderId="13" xfId="0" applyFont="1" applyBorder="1" applyAlignment="1" applyProtection="1"/>
    <xf numFmtId="49" fontId="79" fillId="0" borderId="20" xfId="0" applyNumberFormat="1" applyFont="1" applyBorder="1" applyAlignment="1" applyProtection="1">
      <alignment horizontal="right"/>
    </xf>
    <xf numFmtId="49" fontId="79" fillId="8" borderId="32" xfId="0" applyNumberFormat="1" applyFont="1" applyFill="1" applyBorder="1" applyAlignment="1" applyProtection="1">
      <alignment horizontal="right"/>
    </xf>
    <xf numFmtId="0" fontId="90" fillId="0" borderId="21" xfId="0" applyFont="1" applyBorder="1" applyProtection="1"/>
    <xf numFmtId="0" fontId="90" fillId="0" borderId="55" xfId="0" applyNumberFormat="1" applyFont="1" applyBorder="1" applyAlignment="1" applyProtection="1">
      <alignment horizontal="center"/>
    </xf>
    <xf numFmtId="0" fontId="90" fillId="0" borderId="18" xfId="0" applyFont="1" applyBorder="1" applyProtection="1"/>
    <xf numFmtId="0" fontId="90" fillId="0" borderId="13" xfId="0" applyFont="1" applyBorder="1" applyProtection="1"/>
    <xf numFmtId="0" fontId="40" fillId="0" borderId="13" xfId="0" applyFont="1" applyBorder="1" applyProtection="1"/>
    <xf numFmtId="0" fontId="39" fillId="0" borderId="13" xfId="0" applyNumberFormat="1" applyFont="1" applyBorder="1" applyAlignment="1" applyProtection="1"/>
    <xf numFmtId="0" fontId="90" fillId="0" borderId="20" xfId="0" applyFont="1" applyBorder="1" applyProtection="1"/>
    <xf numFmtId="0" fontId="68" fillId="0" borderId="20" xfId="0" applyFont="1" applyBorder="1" applyAlignment="1" applyProtection="1">
      <alignment horizontal="center"/>
    </xf>
    <xf numFmtId="0" fontId="87" fillId="0" borderId="20" xfId="0" applyFont="1" applyBorder="1" applyAlignment="1" applyProtection="1">
      <alignment horizontal="center"/>
    </xf>
    <xf numFmtId="49" fontId="87" fillId="0" borderId="20" xfId="0" applyNumberFormat="1" applyFont="1" applyBorder="1" applyAlignment="1" applyProtection="1">
      <alignment horizontal="center"/>
    </xf>
    <xf numFmtId="0" fontId="87" fillId="0" borderId="22" xfId="0" applyFont="1" applyBorder="1" applyProtection="1"/>
    <xf numFmtId="0" fontId="39" fillId="0" borderId="17" xfId="0" applyFont="1" applyBorder="1" applyAlignment="1" applyProtection="1">
      <alignment horizontal="left" readingOrder="1"/>
    </xf>
    <xf numFmtId="6" fontId="90" fillId="0" borderId="13" xfId="0" applyNumberFormat="1" applyFont="1" applyBorder="1" applyAlignment="1" applyProtection="1">
      <alignment horizontal="left"/>
    </xf>
    <xf numFmtId="0" fontId="90" fillId="0" borderId="0" xfId="0" applyFont="1" applyBorder="1"/>
    <xf numFmtId="0" fontId="90" fillId="0" borderId="20" xfId="0" applyNumberFormat="1" applyFont="1" applyBorder="1" applyAlignment="1" applyProtection="1">
      <alignment horizontal="left"/>
    </xf>
    <xf numFmtId="165" fontId="90" fillId="0" borderId="13" xfId="1" applyNumberFormat="1" applyFont="1" applyBorder="1" applyAlignment="1" applyProtection="1">
      <alignment horizontal="center" vertical="center"/>
    </xf>
    <xf numFmtId="0" fontId="90" fillId="0" borderId="22" xfId="0" applyFont="1" applyBorder="1" applyProtection="1"/>
    <xf numFmtId="0" fontId="62" fillId="0" borderId="0" xfId="0" applyFont="1" applyAlignment="1" applyProtection="1">
      <alignment horizontal="right"/>
    </xf>
    <xf numFmtId="0" fontId="62" fillId="0" borderId="0" xfId="0" applyFont="1" applyAlignment="1" applyProtection="1">
      <alignment horizontal="center"/>
    </xf>
    <xf numFmtId="0" fontId="148" fillId="0" borderId="0" xfId="0" applyFont="1" applyBorder="1" applyProtection="1"/>
    <xf numFmtId="0" fontId="148" fillId="0" borderId="0" xfId="0" applyFont="1" applyFill="1" applyBorder="1" applyAlignment="1" applyProtection="1">
      <alignment horizontal="center"/>
    </xf>
    <xf numFmtId="0" fontId="62" fillId="0" borderId="0" xfId="0" applyNumberFormat="1" applyFont="1" applyBorder="1" applyAlignment="1" applyProtection="1">
      <alignment horizontal="center"/>
    </xf>
    <xf numFmtId="0" fontId="62" fillId="0" borderId="0" xfId="0" applyNumberFormat="1" applyFont="1" applyAlignment="1" applyProtection="1">
      <alignment horizontal="center"/>
    </xf>
    <xf numFmtId="0" fontId="62" fillId="0" borderId="0" xfId="0" applyFont="1" applyFill="1" applyBorder="1" applyAlignment="1" applyProtection="1">
      <alignment horizontal="center"/>
    </xf>
    <xf numFmtId="0" fontId="40" fillId="0" borderId="0" xfId="0" applyFont="1" applyBorder="1" applyAlignment="1" applyProtection="1">
      <alignment vertical="center" wrapText="1"/>
    </xf>
    <xf numFmtId="0" fontId="87" fillId="0" borderId="20" xfId="0" applyFont="1" applyBorder="1" applyAlignment="1" applyProtection="1">
      <alignment wrapText="1"/>
    </xf>
    <xf numFmtId="0" fontId="87" fillId="0" borderId="20" xfId="0" applyFont="1" applyBorder="1" applyAlignment="1" applyProtection="1">
      <alignment vertical="center" wrapText="1"/>
    </xf>
    <xf numFmtId="49" fontId="0" fillId="15" borderId="7" xfId="0" applyNumberFormat="1" applyFill="1" applyBorder="1" applyAlignment="1" applyProtection="1">
      <alignment horizontal="center"/>
      <protection locked="0"/>
    </xf>
    <xf numFmtId="49" fontId="90" fillId="15" borderId="0" xfId="0" applyNumberFormat="1" applyFont="1" applyFill="1" applyBorder="1" applyAlignment="1" applyProtection="1">
      <protection locked="0"/>
    </xf>
    <xf numFmtId="0" fontId="40" fillId="0" borderId="13" xfId="0" applyNumberFormat="1" applyFont="1" applyBorder="1" applyAlignment="1" applyProtection="1"/>
    <xf numFmtId="0" fontId="90" fillId="0" borderId="20" xfId="0" applyNumberFormat="1" applyFont="1" applyBorder="1" applyAlignment="1" applyProtection="1"/>
    <xf numFmtId="0" fontId="90" fillId="0" borderId="0" xfId="0" applyFont="1" applyAlignment="1" applyProtection="1">
      <alignment horizontal="center"/>
    </xf>
    <xf numFmtId="0" fontId="90" fillId="0" borderId="6" xfId="0" applyNumberFormat="1" applyFont="1" applyBorder="1" applyAlignment="1" applyProtection="1">
      <alignment horizontal="left"/>
    </xf>
    <xf numFmtId="0" fontId="151" fillId="0" borderId="0" xfId="0" applyFont="1" applyBorder="1" applyAlignment="1" applyProtection="1">
      <alignment horizontal="center"/>
    </xf>
    <xf numFmtId="0" fontId="39" fillId="0" borderId="0" xfId="0" applyFont="1" applyBorder="1" applyProtection="1"/>
    <xf numFmtId="49" fontId="90" fillId="17" borderId="1" xfId="0" applyNumberFormat="1" applyFont="1" applyFill="1" applyBorder="1" applyAlignment="1" applyProtection="1">
      <alignment horizontal="left" indent="1"/>
      <protection locked="0"/>
    </xf>
    <xf numFmtId="49" fontId="90" fillId="15" borderId="6" xfId="0" applyNumberFormat="1" applyFont="1" applyFill="1" applyBorder="1" applyAlignment="1" applyProtection="1">
      <alignment horizontal="left" indent="1"/>
      <protection locked="0"/>
    </xf>
    <xf numFmtId="0" fontId="0" fillId="0" borderId="1" xfId="0" applyFont="1" applyBorder="1" applyAlignment="1" applyProtection="1">
      <alignment horizontal="center"/>
    </xf>
    <xf numFmtId="0" fontId="0" fillId="0" borderId="9" xfId="0" applyFont="1" applyBorder="1" applyAlignment="1" applyProtection="1"/>
    <xf numFmtId="0" fontId="149" fillId="0" borderId="0" xfId="0" applyNumberFormat="1" applyFont="1" applyBorder="1" applyAlignment="1" applyProtection="1">
      <alignment vertical="top" wrapText="1"/>
    </xf>
    <xf numFmtId="0" fontId="0" fillId="7" borderId="1" xfId="0" applyFont="1" applyFill="1" applyBorder="1" applyAlignment="1" applyProtection="1">
      <alignment horizontal="left"/>
      <protection locked="0"/>
    </xf>
    <xf numFmtId="0" fontId="59" fillId="0" borderId="0" xfId="0" applyNumberFormat="1" applyFont="1" applyAlignment="1" applyProtection="1">
      <alignment horizontal="left"/>
    </xf>
    <xf numFmtId="0" fontId="98" fillId="0" borderId="0" xfId="0" applyFont="1" applyFill="1" applyBorder="1" applyAlignment="1" applyProtection="1">
      <alignment horizontal="center"/>
    </xf>
    <xf numFmtId="0" fontId="98" fillId="0" borderId="0" xfId="0" applyFont="1" applyProtection="1"/>
    <xf numFmtId="0" fontId="59" fillId="0" borderId="0" xfId="0" applyFont="1" applyFill="1" applyAlignment="1" applyProtection="1"/>
    <xf numFmtId="0" fontId="59" fillId="0" borderId="0" xfId="0" applyFont="1" applyAlignment="1" applyProtection="1">
      <alignment horizontal="left"/>
    </xf>
    <xf numFmtId="0" fontId="59" fillId="0" borderId="0" xfId="0" applyFont="1" applyFill="1" applyAlignment="1" applyProtection="1">
      <alignment horizontal="left"/>
    </xf>
    <xf numFmtId="0" fontId="59" fillId="0" borderId="0" xfId="0" applyFont="1" applyAlignment="1" applyProtection="1">
      <alignment vertical="center"/>
    </xf>
    <xf numFmtId="0" fontId="59" fillId="0" borderId="0" xfId="0" applyFont="1" applyFill="1" applyAlignment="1" applyProtection="1">
      <alignment vertical="center"/>
    </xf>
    <xf numFmtId="0" fontId="59" fillId="0" borderId="0" xfId="0" applyFont="1" applyFill="1" applyAlignment="1" applyProtection="1">
      <alignment horizontal="left" vertical="center"/>
    </xf>
    <xf numFmtId="0" fontId="59" fillId="0" borderId="0" xfId="0" applyFont="1" applyFill="1" applyBorder="1" applyAlignment="1" applyProtection="1">
      <alignment horizontal="left" vertical="center"/>
    </xf>
    <xf numFmtId="0" fontId="162" fillId="0" borderId="0" xfId="0" applyFont="1" applyFill="1" applyBorder="1" applyAlignment="1" applyProtection="1">
      <alignment horizontal="center"/>
    </xf>
    <xf numFmtId="0" fontId="0" fillId="0" borderId="6" xfId="0" applyFont="1" applyBorder="1" applyProtection="1"/>
    <xf numFmtId="0" fontId="0" fillId="0" borderId="10" xfId="0" applyFont="1" applyBorder="1" applyProtection="1"/>
    <xf numFmtId="0" fontId="0" fillId="7" borderId="1" xfId="0" applyFont="1" applyFill="1" applyBorder="1" applyAlignment="1" applyProtection="1">
      <alignment horizontal="center"/>
      <protection locked="0"/>
    </xf>
    <xf numFmtId="0" fontId="0" fillId="0" borderId="30" xfId="0" applyFont="1" applyBorder="1" applyProtection="1"/>
    <xf numFmtId="0" fontId="63" fillId="0" borderId="15" xfId="0" applyFont="1" applyBorder="1" applyAlignment="1" applyProtection="1"/>
    <xf numFmtId="0" fontId="0" fillId="0" borderId="14" xfId="0" applyFont="1" applyBorder="1" applyProtection="1"/>
    <xf numFmtId="0" fontId="63" fillId="8" borderId="15" xfId="0" applyFont="1" applyFill="1" applyBorder="1" applyAlignment="1" applyProtection="1">
      <alignment horizontal="left"/>
      <protection locked="0"/>
    </xf>
    <xf numFmtId="0" fontId="135" fillId="8" borderId="15" xfId="0" applyFont="1" applyFill="1" applyBorder="1" applyAlignment="1" applyProtection="1">
      <protection locked="0"/>
    </xf>
    <xf numFmtId="0" fontId="59" fillId="6" borderId="0" xfId="0" applyFont="1" applyFill="1" applyBorder="1" applyAlignment="1" applyProtection="1">
      <alignment horizontal="center"/>
      <protection locked="0"/>
    </xf>
    <xf numFmtId="0" fontId="82" fillId="0" borderId="81" xfId="0" applyFont="1" applyBorder="1" applyAlignment="1" applyProtection="1"/>
    <xf numFmtId="0" fontId="77" fillId="0" borderId="0" xfId="0" applyFont="1" applyBorder="1" applyAlignment="1" applyProtection="1">
      <alignment vertical="center"/>
    </xf>
    <xf numFmtId="0" fontId="0" fillId="0" borderId="0" xfId="0" applyFill="1" applyBorder="1" applyProtection="1"/>
    <xf numFmtId="0" fontId="0" fillId="0" borderId="0" xfId="0" applyFill="1" applyBorder="1" applyProtection="1"/>
    <xf numFmtId="0" fontId="0" fillId="0" borderId="25" xfId="0" applyFont="1" applyBorder="1" applyProtection="1"/>
    <xf numFmtId="49" fontId="87" fillId="8" borderId="20" xfId="0" applyNumberFormat="1" applyFont="1" applyFill="1" applyBorder="1" applyAlignment="1" applyProtection="1">
      <alignment horizontal="right"/>
    </xf>
    <xf numFmtId="0" fontId="105" fillId="0" borderId="12" xfId="0" applyFont="1" applyBorder="1" applyAlignment="1" applyProtection="1">
      <alignment horizontal="center" wrapText="1"/>
    </xf>
    <xf numFmtId="0" fontId="71" fillId="8" borderId="30" xfId="0" applyFont="1" applyFill="1" applyBorder="1" applyAlignment="1" applyProtection="1"/>
    <xf numFmtId="0" fontId="71" fillId="8" borderId="6" xfId="0" applyFont="1" applyFill="1" applyBorder="1" applyAlignment="1" applyProtection="1"/>
    <xf numFmtId="0" fontId="63" fillId="0" borderId="0" xfId="0" applyFont="1" applyFill="1" applyBorder="1" applyAlignment="1" applyProtection="1"/>
    <xf numFmtId="0" fontId="78" fillId="0" borderId="0" xfId="0" applyFont="1" applyFill="1" applyBorder="1" applyAlignment="1" applyProtection="1">
      <alignment horizontal="left"/>
    </xf>
    <xf numFmtId="0" fontId="63" fillId="0" borderId="0" xfId="0" applyFont="1" applyFill="1" applyBorder="1" applyAlignment="1" applyProtection="1">
      <alignment horizontal="left"/>
    </xf>
    <xf numFmtId="0" fontId="78" fillId="0" borderId="0" xfId="0" applyFont="1" applyFill="1" applyBorder="1" applyProtection="1"/>
    <xf numFmtId="0" fontId="0" fillId="0" borderId="0" xfId="0" applyFont="1" applyFill="1" applyBorder="1" applyProtection="1"/>
    <xf numFmtId="0" fontId="0" fillId="0" borderId="0" xfId="0" applyFont="1" applyFill="1" applyBorder="1" applyAlignment="1" applyProtection="1"/>
    <xf numFmtId="0" fontId="0" fillId="0" borderId="0" xfId="0" applyFont="1" applyBorder="1" applyAlignment="1" applyProtection="1"/>
    <xf numFmtId="0" fontId="0" fillId="0" borderId="0" xfId="0" applyFont="1" applyBorder="1" applyAlignment="1" applyProtection="1">
      <alignment horizontal="left"/>
    </xf>
    <xf numFmtId="49" fontId="0" fillId="0" borderId="0" xfId="0" applyNumberFormat="1" applyFont="1" applyFill="1" applyBorder="1" applyAlignment="1" applyProtection="1"/>
    <xf numFmtId="0" fontId="59" fillId="6" borderId="0" xfId="0" applyFont="1" applyFill="1" applyBorder="1" applyAlignment="1" applyProtection="1">
      <alignment horizontal="center"/>
    </xf>
    <xf numFmtId="0" fontId="98" fillId="6" borderId="0" xfId="0" applyFont="1" applyFill="1" applyBorder="1" applyAlignment="1" applyProtection="1">
      <alignment horizontal="center"/>
    </xf>
    <xf numFmtId="0" fontId="99" fillId="6" borderId="0" xfId="0" applyFont="1" applyFill="1" applyBorder="1" applyAlignment="1" applyProtection="1">
      <alignment horizontal="center"/>
    </xf>
    <xf numFmtId="0" fontId="97" fillId="6" borderId="0" xfId="0" applyFont="1" applyFill="1" applyBorder="1" applyAlignment="1" applyProtection="1">
      <alignment horizontal="center"/>
    </xf>
    <xf numFmtId="0" fontId="59" fillId="6" borderId="0" xfId="0" applyFont="1" applyFill="1" applyBorder="1" applyAlignment="1" applyProtection="1">
      <alignment horizontal="center" vertical="center"/>
    </xf>
    <xf numFmtId="1" fontId="59" fillId="6" borderId="0" xfId="0" applyNumberFormat="1" applyFont="1" applyFill="1" applyBorder="1" applyAlignment="1" applyProtection="1">
      <alignment horizontal="center"/>
    </xf>
    <xf numFmtId="0" fontId="100" fillId="0" borderId="0" xfId="0" applyFont="1" applyFill="1" applyBorder="1" applyAlignment="1" applyProtection="1"/>
    <xf numFmtId="0" fontId="99" fillId="6" borderId="0" xfId="0" applyFont="1" applyFill="1" applyBorder="1" applyAlignment="1" applyProtection="1">
      <alignment horizontal="center" wrapText="1"/>
    </xf>
    <xf numFmtId="0" fontId="102" fillId="0" borderId="13" xfId="0" applyFont="1" applyFill="1" applyBorder="1" applyAlignment="1" applyProtection="1"/>
    <xf numFmtId="0" fontId="71" fillId="0" borderId="0" xfId="0" applyFont="1" applyFill="1" applyBorder="1" applyAlignment="1" applyProtection="1"/>
    <xf numFmtId="0" fontId="59" fillId="0" borderId="0" xfId="0" applyFont="1" applyFill="1" applyBorder="1" applyAlignment="1" applyProtection="1">
      <alignment horizontal="center"/>
    </xf>
    <xf numFmtId="0" fontId="119" fillId="0" borderId="17" xfId="0" applyFont="1" applyFill="1" applyBorder="1" applyAlignment="1" applyProtection="1"/>
    <xf numFmtId="0" fontId="119" fillId="0" borderId="18" xfId="0" applyFont="1" applyFill="1" applyBorder="1" applyAlignment="1" applyProtection="1"/>
    <xf numFmtId="0" fontId="0" fillId="0" borderId="18" xfId="0" applyFill="1" applyBorder="1" applyProtection="1"/>
    <xf numFmtId="0" fontId="0" fillId="0" borderId="19" xfId="0" applyFill="1" applyBorder="1" applyProtection="1"/>
    <xf numFmtId="0" fontId="0" fillId="0" borderId="0" xfId="0" applyFill="1" applyBorder="1" applyProtection="1"/>
    <xf numFmtId="0" fontId="0" fillId="0" borderId="20" xfId="0" applyFill="1" applyBorder="1" applyProtection="1"/>
    <xf numFmtId="0" fontId="0" fillId="8" borderId="13" xfId="0" applyFont="1" applyFill="1" applyBorder="1" applyAlignment="1" applyProtection="1"/>
    <xf numFmtId="0" fontId="63" fillId="0" borderId="0" xfId="0" applyFont="1" applyFill="1" applyBorder="1" applyAlignment="1" applyProtection="1">
      <alignment vertical="center"/>
    </xf>
    <xf numFmtId="0" fontId="0" fillId="0" borderId="21" xfId="0" applyFont="1" applyFill="1" applyBorder="1" applyAlignment="1" applyProtection="1"/>
    <xf numFmtId="0" fontId="0" fillId="0" borderId="22" xfId="0" applyFont="1" applyFill="1" applyBorder="1" applyAlignment="1" applyProtection="1"/>
    <xf numFmtId="0" fontId="59" fillId="6" borderId="22" xfId="0" applyFont="1" applyFill="1" applyBorder="1" applyAlignment="1" applyProtection="1">
      <alignment horizontal="center"/>
    </xf>
    <xf numFmtId="0" fontId="63" fillId="0" borderId="22" xfId="0" applyFont="1" applyFill="1" applyBorder="1" applyAlignment="1" applyProtection="1"/>
    <xf numFmtId="0" fontId="0" fillId="0" borderId="22" xfId="0" applyFill="1" applyBorder="1" applyProtection="1"/>
    <xf numFmtId="0" fontId="0" fillId="0" borderId="23" xfId="0" applyFill="1" applyBorder="1" applyProtection="1"/>
    <xf numFmtId="0" fontId="71" fillId="0" borderId="13" xfId="0" applyFont="1" applyFill="1" applyBorder="1" applyAlignment="1" applyProtection="1"/>
    <xf numFmtId="0" fontId="82" fillId="0" borderId="0" xfId="0" applyFont="1" applyFill="1" applyBorder="1" applyAlignment="1" applyProtection="1"/>
    <xf numFmtId="0" fontId="0" fillId="8" borderId="13" xfId="0" applyFont="1" applyFill="1" applyBorder="1" applyProtection="1"/>
    <xf numFmtId="49" fontId="0" fillId="0" borderId="0" xfId="0" applyNumberFormat="1" applyFont="1" applyFill="1" applyBorder="1" applyAlignment="1" applyProtection="1">
      <alignment horizontal="center"/>
    </xf>
    <xf numFmtId="0" fontId="77" fillId="0" borderId="0" xfId="0" applyFont="1" applyFill="1" applyBorder="1" applyAlignment="1" applyProtection="1"/>
    <xf numFmtId="0" fontId="0" fillId="0" borderId="13" xfId="0" applyFont="1" applyFill="1" applyBorder="1" applyAlignment="1" applyProtection="1"/>
    <xf numFmtId="0" fontId="78" fillId="0" borderId="0" xfId="0" applyFont="1" applyFill="1" applyBorder="1" applyAlignment="1" applyProtection="1"/>
    <xf numFmtId="0" fontId="65" fillId="0" borderId="0" xfId="0" applyFont="1" applyFill="1" applyBorder="1" applyAlignment="1" applyProtection="1"/>
    <xf numFmtId="0" fontId="0" fillId="0" borderId="0" xfId="0" applyNumberFormat="1" applyFont="1" applyFill="1" applyBorder="1" applyAlignment="1" applyProtection="1">
      <alignment horizontal="center" vertical="center"/>
    </xf>
    <xf numFmtId="0" fontId="77" fillId="0" borderId="0" xfId="0" applyFont="1" applyFill="1" applyBorder="1" applyAlignment="1" applyProtection="1">
      <alignment vertical="center"/>
    </xf>
    <xf numFmtId="0" fontId="0" fillId="0" borderId="0" xfId="0" applyNumberFormat="1" applyFont="1" applyFill="1" applyBorder="1" applyAlignment="1" applyProtection="1">
      <alignment horizontal="center"/>
    </xf>
    <xf numFmtId="0" fontId="63" fillId="0" borderId="0" xfId="0" applyNumberFormat="1" applyFont="1" applyFill="1" applyBorder="1" applyAlignment="1" applyProtection="1">
      <alignment horizontal="center"/>
    </xf>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xf>
    <xf numFmtId="0" fontId="0" fillId="0" borderId="0" xfId="0" applyFont="1" applyFill="1" applyBorder="1" applyAlignment="1" applyProtection="1">
      <alignment horizontal="left"/>
    </xf>
    <xf numFmtId="0" fontId="96" fillId="0" borderId="13" xfId="0" applyFont="1" applyFill="1" applyBorder="1" applyAlignment="1" applyProtection="1"/>
    <xf numFmtId="0" fontId="96" fillId="0" borderId="0" xfId="0" applyNumberFormat="1" applyFont="1" applyFill="1" applyBorder="1" applyAlignment="1" applyProtection="1">
      <alignment horizontal="center"/>
    </xf>
    <xf numFmtId="0" fontId="96" fillId="0" borderId="0" xfId="0" applyFont="1" applyFill="1" applyBorder="1" applyAlignment="1" applyProtection="1">
      <alignment horizontal="left"/>
    </xf>
    <xf numFmtId="0" fontId="0" fillId="0" borderId="0" xfId="0" applyNumberFormat="1" applyFont="1" applyFill="1" applyBorder="1" applyAlignment="1" applyProtection="1"/>
    <xf numFmtId="0" fontId="87" fillId="0" borderId="13" xfId="0" applyFont="1" applyFill="1" applyBorder="1" applyAlignment="1" applyProtection="1"/>
    <xf numFmtId="0" fontId="87" fillId="0" borderId="0" xfId="0" applyFont="1" applyFill="1" applyBorder="1" applyAlignment="1" applyProtection="1"/>
    <xf numFmtId="0" fontId="87" fillId="0" borderId="21" xfId="0" applyFont="1" applyFill="1" applyBorder="1" applyAlignment="1" applyProtection="1"/>
    <xf numFmtId="0" fontId="87" fillId="0" borderId="22" xfId="0" applyFont="1" applyFill="1" applyBorder="1" applyAlignment="1" applyProtection="1"/>
    <xf numFmtId="0" fontId="71" fillId="0" borderId="13" xfId="0" applyFont="1" applyFill="1" applyBorder="1" applyAlignment="1" applyProtection="1">
      <alignment vertical="center"/>
    </xf>
    <xf numFmtId="0" fontId="71" fillId="0" borderId="0" xfId="0" applyFont="1" applyFill="1" applyBorder="1" applyAlignment="1" applyProtection="1">
      <alignment vertical="center"/>
    </xf>
    <xf numFmtId="0" fontId="99" fillId="6" borderId="13" xfId="0" applyFont="1" applyFill="1" applyBorder="1" applyAlignment="1" applyProtection="1">
      <alignment vertical="center"/>
    </xf>
    <xf numFmtId="0" fontId="0" fillId="0" borderId="0" xfId="0" applyFill="1" applyBorder="1" applyAlignment="1" applyProtection="1">
      <alignment vertical="center"/>
    </xf>
    <xf numFmtId="0" fontId="82" fillId="0" borderId="0" xfId="0" applyFont="1" applyFill="1" applyBorder="1" applyAlignment="1" applyProtection="1">
      <alignment vertical="center"/>
    </xf>
    <xf numFmtId="0" fontId="0" fillId="8" borderId="13" xfId="0" applyFill="1" applyBorder="1" applyProtection="1"/>
    <xf numFmtId="49" fontId="63" fillId="0" borderId="0" xfId="0" applyNumberFormat="1" applyFont="1" applyFill="1" applyBorder="1" applyAlignment="1" applyProtection="1">
      <alignment horizontal="center"/>
    </xf>
    <xf numFmtId="0" fontId="0" fillId="0" borderId="13" xfId="0" applyFont="1" applyFill="1" applyBorder="1" applyProtection="1"/>
    <xf numFmtId="9" fontId="59" fillId="6" borderId="0" xfId="0" applyNumberFormat="1" applyFont="1" applyFill="1" applyBorder="1" applyAlignment="1" applyProtection="1">
      <alignment horizontal="center"/>
    </xf>
    <xf numFmtId="0" fontId="102" fillId="0" borderId="13" xfId="0" applyFont="1" applyFill="1" applyBorder="1" applyAlignment="1" applyProtection="1">
      <alignment vertical="center"/>
    </xf>
    <xf numFmtId="0" fontId="100" fillId="0" borderId="0" xfId="0" applyFont="1" applyFill="1" applyBorder="1" applyAlignment="1" applyProtection="1">
      <alignment vertical="center"/>
    </xf>
    <xf numFmtId="0" fontId="63" fillId="0" borderId="0" xfId="0" applyNumberFormat="1" applyFont="1" applyFill="1" applyBorder="1" applyAlignment="1" applyProtection="1">
      <alignment horizontal="center" vertical="center"/>
    </xf>
    <xf numFmtId="3" fontId="59" fillId="6" borderId="0" xfId="0" applyNumberFormat="1" applyFont="1" applyFill="1" applyBorder="1" applyAlignment="1" applyProtection="1">
      <alignment horizontal="center"/>
    </xf>
    <xf numFmtId="0" fontId="120" fillId="0" borderId="0" xfId="0" applyFont="1" applyFill="1" applyBorder="1" applyAlignment="1" applyProtection="1">
      <alignment vertical="center"/>
    </xf>
    <xf numFmtId="0" fontId="62" fillId="0" borderId="0" xfId="0" applyFont="1" applyFill="1" applyBorder="1" applyAlignment="1" applyProtection="1"/>
    <xf numFmtId="0" fontId="78" fillId="0" borderId="0" xfId="0" applyNumberFormat="1" applyFont="1" applyFill="1" applyBorder="1" applyAlignment="1" applyProtection="1">
      <alignment horizontal="center"/>
    </xf>
    <xf numFmtId="0" fontId="78" fillId="0" borderId="0" xfId="0" applyNumberFormat="1" applyFont="1" applyFill="1" applyBorder="1" applyAlignment="1" applyProtection="1">
      <alignment horizontal="left"/>
    </xf>
    <xf numFmtId="0" fontId="121" fillId="0" borderId="13" xfId="0" applyFont="1" applyFill="1" applyBorder="1" applyAlignment="1" applyProtection="1"/>
    <xf numFmtId="0" fontId="121" fillId="0" borderId="0" xfId="0" applyFont="1" applyFill="1" applyBorder="1" applyAlignment="1" applyProtection="1"/>
    <xf numFmtId="0" fontId="121" fillId="0" borderId="21" xfId="0" applyFont="1" applyFill="1" applyBorder="1" applyAlignment="1" applyProtection="1"/>
    <xf numFmtId="0" fontId="121" fillId="0" borderId="22" xfId="0" applyFont="1" applyFill="1" applyBorder="1" applyAlignment="1" applyProtection="1"/>
    <xf numFmtId="0" fontId="119" fillId="0" borderId="19" xfId="0" applyFont="1" applyFill="1" applyBorder="1" applyAlignment="1" applyProtection="1"/>
    <xf numFmtId="0" fontId="71" fillId="0" borderId="20" xfId="0" applyFont="1" applyFill="1" applyBorder="1" applyAlignment="1" applyProtection="1"/>
    <xf numFmtId="0" fontId="82" fillId="0" borderId="20" xfId="0" applyFont="1" applyFill="1" applyBorder="1" applyAlignment="1" applyProtection="1"/>
    <xf numFmtId="0" fontId="59" fillId="6" borderId="0" xfId="0" applyFont="1" applyFill="1" applyBorder="1" applyAlignment="1" applyProtection="1"/>
    <xf numFmtId="0" fontId="0" fillId="0" borderId="0" xfId="0" applyFill="1" applyBorder="1" applyAlignment="1" applyProtection="1"/>
    <xf numFmtId="0" fontId="63" fillId="0" borderId="20" xfId="0" applyFont="1" applyFill="1" applyBorder="1" applyAlignment="1" applyProtection="1">
      <alignment horizontal="left"/>
    </xf>
    <xf numFmtId="0" fontId="0" fillId="0" borderId="0" xfId="0" applyNumberFormat="1" applyFill="1" applyBorder="1" applyAlignment="1" applyProtection="1">
      <alignment horizontal="center"/>
    </xf>
    <xf numFmtId="0" fontId="63" fillId="0" borderId="20" xfId="0" applyFont="1" applyFill="1" applyBorder="1" applyAlignment="1" applyProtection="1"/>
    <xf numFmtId="0" fontId="71" fillId="0" borderId="13" xfId="0" applyFont="1" applyFill="1" applyBorder="1" applyAlignment="1" applyProtection="1">
      <alignment horizontal="center"/>
    </xf>
    <xf numFmtId="0" fontId="99" fillId="0" borderId="0" xfId="0" applyFont="1" applyFill="1" applyBorder="1" applyAlignment="1" applyProtection="1"/>
    <xf numFmtId="0" fontId="100" fillId="0" borderId="20" xfId="0" applyFont="1" applyFill="1" applyBorder="1" applyAlignment="1" applyProtection="1"/>
    <xf numFmtId="0" fontId="62" fillId="0" borderId="0" xfId="0" applyFont="1" applyFill="1" applyBorder="1" applyAlignment="1" applyProtection="1">
      <alignment vertical="center"/>
    </xf>
    <xf numFmtId="0" fontId="62" fillId="0" borderId="20" xfId="0" applyFont="1" applyFill="1" applyBorder="1" applyAlignment="1" applyProtection="1">
      <alignment vertical="center"/>
    </xf>
    <xf numFmtId="0" fontId="0" fillId="0" borderId="20" xfId="0" applyFont="1" applyFill="1" applyBorder="1" applyAlignment="1" applyProtection="1"/>
    <xf numFmtId="0" fontId="78" fillId="0" borderId="20" xfId="0" applyFont="1" applyFill="1" applyBorder="1" applyAlignment="1" applyProtection="1"/>
    <xf numFmtId="0" fontId="77" fillId="0" borderId="20" xfId="0" applyFont="1" applyFill="1" applyBorder="1" applyAlignment="1" applyProtection="1"/>
    <xf numFmtId="0" fontId="0" fillId="0" borderId="20" xfId="0" applyNumberFormat="1" applyFont="1" applyFill="1" applyBorder="1" applyAlignment="1" applyProtection="1"/>
    <xf numFmtId="0" fontId="0" fillId="0" borderId="20" xfId="0" applyFill="1" applyBorder="1" applyAlignment="1" applyProtection="1"/>
    <xf numFmtId="16" fontId="63" fillId="0" borderId="0" xfId="0" applyNumberFormat="1" applyFont="1" applyFill="1" applyBorder="1" applyAlignment="1" applyProtection="1">
      <alignment horizontal="center"/>
    </xf>
    <xf numFmtId="0" fontId="63" fillId="0" borderId="20" xfId="0" applyFont="1" applyFill="1" applyBorder="1" applyAlignment="1" applyProtection="1">
      <alignment horizontal="left" vertical="center"/>
    </xf>
    <xf numFmtId="0" fontId="63" fillId="0" borderId="20" xfId="0" applyFont="1" applyFill="1" applyBorder="1" applyAlignment="1" applyProtection="1">
      <alignment vertical="center"/>
    </xf>
    <xf numFmtId="0" fontId="0" fillId="0" borderId="13" xfId="0" applyFill="1" applyBorder="1" applyProtection="1"/>
    <xf numFmtId="49" fontId="0" fillId="0" borderId="0" xfId="0" applyNumberFormat="1" applyFill="1" applyBorder="1" applyAlignment="1" applyProtection="1">
      <alignment horizontal="center"/>
    </xf>
    <xf numFmtId="0" fontId="80" fillId="0" borderId="0" xfId="0" applyFont="1" applyFill="1" applyBorder="1" applyAlignment="1" applyProtection="1">
      <alignment horizontal="center" vertical="center"/>
    </xf>
    <xf numFmtId="0" fontId="122" fillId="0" borderId="0" xfId="0" applyFont="1" applyFill="1" applyBorder="1" applyAlignment="1" applyProtection="1"/>
    <xf numFmtId="0" fontId="123" fillId="0" borderId="0" xfId="0" applyNumberFormat="1" applyFont="1" applyFill="1" applyBorder="1" applyAlignment="1" applyProtection="1">
      <alignment horizontal="center" vertical="center"/>
    </xf>
    <xf numFmtId="0" fontId="123" fillId="0" borderId="0" xfId="0" applyNumberFormat="1" applyFont="1" applyFill="1" applyBorder="1" applyAlignment="1" applyProtection="1">
      <alignment vertical="center"/>
    </xf>
    <xf numFmtId="0" fontId="83" fillId="0" borderId="0" xfId="0" applyNumberFormat="1" applyFont="1" applyFill="1" applyBorder="1" applyAlignment="1" applyProtection="1">
      <alignment vertical="center"/>
    </xf>
    <xf numFmtId="0" fontId="79" fillId="0" borderId="0" xfId="0" applyFont="1" applyFill="1" applyBorder="1" applyAlignment="1" applyProtection="1">
      <alignment horizontal="left"/>
    </xf>
    <xf numFmtId="0" fontId="83" fillId="0" borderId="0" xfId="0" applyNumberFormat="1" applyFont="1" applyFill="1" applyBorder="1" applyAlignment="1" applyProtection="1"/>
    <xf numFmtId="0" fontId="79" fillId="0" borderId="0" xfId="0" applyFont="1" applyFill="1" applyBorder="1" applyAlignment="1" applyProtection="1"/>
    <xf numFmtId="0" fontId="0" fillId="0" borderId="0" xfId="0" applyNumberFormat="1" applyFont="1" applyBorder="1" applyAlignment="1" applyProtection="1">
      <alignment horizontal="center"/>
    </xf>
    <xf numFmtId="0" fontId="0" fillId="0" borderId="0" xfId="0" applyBorder="1" applyAlignment="1" applyProtection="1"/>
    <xf numFmtId="0" fontId="125" fillId="0" borderId="0" xfId="0" applyFont="1" applyFill="1" applyBorder="1" applyAlignment="1" applyProtection="1"/>
    <xf numFmtId="0" fontId="63" fillId="0" borderId="0" xfId="0" applyFont="1" applyBorder="1" applyAlignment="1" applyProtection="1"/>
    <xf numFmtId="49" fontId="87" fillId="0" borderId="19" xfId="0" applyNumberFormat="1" applyFont="1" applyFill="1" applyBorder="1" applyAlignment="1" applyProtection="1">
      <alignment horizontal="right"/>
    </xf>
    <xf numFmtId="0" fontId="64" fillId="0" borderId="0" xfId="0" applyFont="1" applyFill="1" applyBorder="1" applyAlignment="1" applyProtection="1"/>
    <xf numFmtId="0" fontId="0" fillId="0" borderId="20" xfId="0" applyFont="1" applyFill="1" applyBorder="1" applyProtection="1"/>
    <xf numFmtId="0" fontId="0" fillId="8" borderId="0" xfId="0" applyFont="1" applyFill="1" applyBorder="1" applyProtection="1"/>
    <xf numFmtId="0" fontId="0" fillId="0" borderId="9" xfId="0" applyFont="1" applyBorder="1" applyAlignment="1" applyProtection="1"/>
    <xf numFmtId="0" fontId="77" fillId="0" borderId="9" xfId="0" applyFont="1" applyBorder="1" applyAlignment="1" applyProtection="1"/>
    <xf numFmtId="0" fontId="62" fillId="0" borderId="9" xfId="0" applyFont="1" applyBorder="1" applyAlignment="1" applyProtection="1"/>
    <xf numFmtId="0" fontId="0" fillId="0" borderId="10" xfId="0" applyFont="1" applyBorder="1" applyAlignment="1" applyProtection="1">
      <alignment horizontal="center" vertical="center"/>
    </xf>
    <xf numFmtId="0" fontId="163" fillId="0" borderId="0" xfId="0" applyFont="1" applyFill="1" applyBorder="1" applyAlignment="1" applyProtection="1">
      <alignment horizontal="center"/>
    </xf>
    <xf numFmtId="0" fontId="65" fillId="0" borderId="7" xfId="0" applyFont="1" applyBorder="1" applyAlignment="1" applyProtection="1"/>
    <xf numFmtId="49" fontId="0" fillId="0" borderId="19" xfId="0" applyNumberFormat="1" applyFill="1" applyBorder="1" applyAlignment="1" applyProtection="1">
      <alignment horizontal="right"/>
    </xf>
    <xf numFmtId="166" fontId="90" fillId="17" borderId="1" xfId="0" applyNumberFormat="1" applyFont="1" applyFill="1" applyBorder="1" applyAlignment="1" applyProtection="1">
      <alignment horizontal="left" indent="1"/>
      <protection locked="0"/>
    </xf>
    <xf numFmtId="0" fontId="166" fillId="0" borderId="0" xfId="0" applyFont="1" applyFill="1" applyProtection="1"/>
    <xf numFmtId="0" fontId="15" fillId="0" borderId="0" xfId="2" applyAlignment="1" applyProtection="1"/>
    <xf numFmtId="0" fontId="169" fillId="0" borderId="0" xfId="0" applyNumberFormat="1" applyFont="1" applyBorder="1" applyAlignment="1" applyProtection="1"/>
    <xf numFmtId="0" fontId="169" fillId="0" borderId="0" xfId="0" applyFont="1" applyBorder="1" applyProtection="1"/>
    <xf numFmtId="49" fontId="90" fillId="0" borderId="7" xfId="0" applyNumberFormat="1" applyFont="1" applyBorder="1" applyAlignment="1" applyProtection="1">
      <alignment horizontal="right" indent="1"/>
      <protection locked="0"/>
    </xf>
    <xf numFmtId="164" fontId="90" fillId="0" borderId="6" xfId="0" applyNumberFormat="1" applyFont="1" applyBorder="1" applyAlignment="1" applyProtection="1">
      <alignment horizontal="right" indent="1"/>
      <protection locked="0"/>
    </xf>
    <xf numFmtId="164" fontId="90" fillId="0" borderId="80" xfId="1" applyNumberFormat="1" applyFont="1" applyBorder="1" applyAlignment="1" applyProtection="1">
      <alignment horizontal="right" vertical="center" indent="1"/>
    </xf>
    <xf numFmtId="0" fontId="169" fillId="0" borderId="13" xfId="0" applyNumberFormat="1" applyFont="1" applyBorder="1" applyAlignment="1" applyProtection="1"/>
    <xf numFmtId="0" fontId="0" fillId="0" borderId="1" xfId="0" applyFont="1" applyBorder="1" applyAlignment="1" applyProtection="1">
      <alignment horizontal="center"/>
    </xf>
    <xf numFmtId="0" fontId="0" fillId="0" borderId="9" xfId="0" applyFont="1" applyBorder="1" applyAlignment="1" applyProtection="1"/>
    <xf numFmtId="0" fontId="63" fillId="7" borderId="1" xfId="0" applyFont="1" applyFill="1" applyBorder="1" applyAlignment="1" applyProtection="1">
      <alignment horizontal="center"/>
      <protection locked="0"/>
    </xf>
    <xf numFmtId="0" fontId="62" fillId="0" borderId="0" xfId="0" applyFont="1" applyFill="1" applyProtection="1"/>
    <xf numFmtId="0" fontId="62" fillId="0" borderId="0" xfId="0" applyFont="1" applyFill="1" applyAlignment="1" applyProtection="1"/>
    <xf numFmtId="0" fontId="0" fillId="0" borderId="0" xfId="0" applyFont="1" applyFill="1" applyAlignment="1" applyProtection="1">
      <alignment wrapText="1"/>
    </xf>
    <xf numFmtId="0" fontId="59" fillId="6" borderId="1" xfId="0" applyFont="1" applyFill="1" applyBorder="1" applyAlignment="1" applyProtection="1">
      <alignment horizontal="center" vertical="center"/>
      <protection locked="0"/>
    </xf>
    <xf numFmtId="0" fontId="63" fillId="0" borderId="0" xfId="0" applyNumberFormat="1" applyFont="1" applyBorder="1" applyAlignment="1" applyProtection="1">
      <alignment horizontal="center" vertical="center"/>
    </xf>
    <xf numFmtId="0" fontId="63" fillId="0" borderId="0" xfId="0" applyNumberFormat="1" applyFont="1" applyBorder="1" applyAlignment="1" applyProtection="1">
      <alignment horizontal="center"/>
    </xf>
    <xf numFmtId="0" fontId="63" fillId="0" borderId="0" xfId="0" applyFont="1" applyBorder="1" applyAlignment="1" applyProtection="1">
      <alignment vertical="center"/>
    </xf>
    <xf numFmtId="0" fontId="63" fillId="7" borderId="1" xfId="0" applyFont="1" applyFill="1" applyBorder="1" applyAlignment="1" applyProtection="1">
      <alignment horizontal="center"/>
      <protection locked="0"/>
    </xf>
    <xf numFmtId="0" fontId="71" fillId="0" borderId="0" xfId="0" applyFont="1" applyFill="1" applyBorder="1" applyAlignment="1" applyProtection="1"/>
    <xf numFmtId="0" fontId="0" fillId="0" borderId="0" xfId="0" applyFont="1" applyBorder="1" applyAlignment="1" applyProtection="1">
      <alignment horizontal="center"/>
    </xf>
    <xf numFmtId="0" fontId="0" fillId="0" borderId="0" xfId="0" applyFont="1" applyBorder="1" applyAlignment="1" applyProtection="1">
      <alignment horizontal="right"/>
    </xf>
    <xf numFmtId="0" fontId="99" fillId="6" borderId="0" xfId="0" applyFont="1" applyFill="1" applyBorder="1" applyAlignment="1" applyProtection="1">
      <alignment horizontal="center"/>
    </xf>
    <xf numFmtId="0" fontId="59" fillId="6" borderId="0" xfId="0" applyFont="1" applyFill="1" applyBorder="1" applyAlignment="1" applyProtection="1">
      <alignment horizontal="center"/>
    </xf>
    <xf numFmtId="0" fontId="0" fillId="0" borderId="9" xfId="0" applyFont="1" applyBorder="1" applyAlignment="1" applyProtection="1"/>
    <xf numFmtId="0" fontId="87" fillId="0" borderId="0" xfId="0" applyFont="1" applyFill="1" applyBorder="1" applyAlignment="1" applyProtection="1"/>
    <xf numFmtId="0" fontId="0" fillId="0" borderId="13" xfId="0" applyFont="1" applyBorder="1" applyProtection="1"/>
    <xf numFmtId="0" fontId="0" fillId="0" borderId="0" xfId="0" applyFont="1" applyBorder="1" applyProtection="1"/>
    <xf numFmtId="0" fontId="40" fillId="0" borderId="0" xfId="0" applyFont="1" applyBorder="1" applyProtection="1"/>
    <xf numFmtId="0" fontId="90" fillId="0" borderId="0" xfId="0" applyFont="1" applyAlignment="1" applyProtection="1">
      <alignment horizontal="center"/>
    </xf>
    <xf numFmtId="0" fontId="0" fillId="0" borderId="0" xfId="0" applyFont="1" applyBorder="1" applyAlignment="1" applyProtection="1">
      <alignment horizontal="right"/>
    </xf>
    <xf numFmtId="0" fontId="90" fillId="15" borderId="7" xfId="0" applyFont="1" applyFill="1" applyBorder="1" applyAlignment="1" applyProtection="1">
      <alignment horizontal="left" indent="1"/>
      <protection locked="0"/>
    </xf>
    <xf numFmtId="0" fontId="90" fillId="15" borderId="6" xfId="0" applyFont="1" applyFill="1" applyBorder="1" applyAlignment="1" applyProtection="1">
      <alignment horizontal="left" indent="1"/>
      <protection locked="0"/>
    </xf>
    <xf numFmtId="0" fontId="63" fillId="0" borderId="1" xfId="0" applyFont="1" applyFill="1" applyBorder="1" applyAlignment="1" applyProtection="1"/>
    <xf numFmtId="0" fontId="63" fillId="0" borderId="1" xfId="0" applyFont="1" applyBorder="1" applyAlignment="1" applyProtection="1"/>
    <xf numFmtId="0" fontId="62" fillId="0" borderId="9" xfId="0" applyFont="1" applyBorder="1" applyAlignment="1" applyProtection="1"/>
    <xf numFmtId="0" fontId="62" fillId="0" borderId="1" xfId="0" applyFont="1" applyBorder="1" applyAlignment="1" applyProtection="1"/>
    <xf numFmtId="0" fontId="62" fillId="0" borderId="9" xfId="0" applyFont="1" applyBorder="1" applyAlignment="1" applyProtection="1">
      <alignment vertical="center"/>
    </xf>
    <xf numFmtId="0" fontId="144" fillId="13" borderId="18" xfId="0" applyFont="1" applyFill="1" applyBorder="1" applyAlignment="1" applyProtection="1">
      <alignment horizontal="center"/>
    </xf>
    <xf numFmtId="0" fontId="144" fillId="13" borderId="19" xfId="0" applyFont="1" applyFill="1" applyBorder="1" applyAlignment="1" applyProtection="1">
      <alignment horizontal="center"/>
    </xf>
    <xf numFmtId="0" fontId="0" fillId="0" borderId="1" xfId="0" applyFont="1" applyBorder="1" applyAlignment="1" applyProtection="1">
      <alignment horizontal="left" wrapText="1"/>
    </xf>
    <xf numFmtId="0" fontId="62" fillId="0" borderId="1" xfId="0" applyFont="1" applyBorder="1" applyAlignment="1" applyProtection="1">
      <alignment wrapText="1"/>
    </xf>
    <xf numFmtId="0" fontId="0" fillId="0" borderId="0" xfId="0" applyFont="1" applyBorder="1" applyAlignment="1" applyProtection="1">
      <alignment horizontal="right"/>
    </xf>
    <xf numFmtId="0" fontId="90" fillId="15" borderId="7" xfId="0" applyFont="1" applyFill="1" applyBorder="1" applyAlignment="1" applyProtection="1">
      <alignment horizontal="left" indent="1"/>
      <protection locked="0"/>
    </xf>
    <xf numFmtId="0" fontId="90" fillId="15" borderId="6" xfId="0" applyFont="1" applyFill="1" applyBorder="1" applyAlignment="1" applyProtection="1">
      <alignment horizontal="left" indent="1"/>
      <protection locked="0"/>
    </xf>
    <xf numFmtId="0" fontId="62" fillId="0" borderId="27" xfId="0" applyFont="1" applyBorder="1" applyAlignment="1" applyProtection="1">
      <alignment vertical="center" wrapText="1"/>
    </xf>
    <xf numFmtId="0" fontId="62" fillId="0" borderId="1" xfId="0" applyFont="1" applyBorder="1" applyAlignment="1" applyProtection="1">
      <alignment vertical="center" wrapText="1"/>
    </xf>
    <xf numFmtId="0" fontId="39" fillId="0" borderId="0" xfId="0" applyFont="1" applyFill="1" applyBorder="1" applyProtection="1"/>
    <xf numFmtId="49" fontId="90" fillId="0" borderId="0" xfId="0" applyNumberFormat="1" applyFont="1" applyFill="1" applyBorder="1" applyAlignment="1" applyProtection="1">
      <alignment horizontal="left" indent="1"/>
      <protection locked="0"/>
    </xf>
    <xf numFmtId="49" fontId="90" fillId="0" borderId="0" xfId="0" applyNumberFormat="1" applyFont="1" applyFill="1" applyBorder="1" applyAlignment="1" applyProtection="1">
      <alignment horizontal="left"/>
    </xf>
    <xf numFmtId="0" fontId="40" fillId="0" borderId="0" xfId="0" applyNumberFormat="1" applyFont="1" applyFill="1" applyBorder="1" applyAlignment="1" applyProtection="1">
      <alignment wrapText="1"/>
    </xf>
    <xf numFmtId="166" fontId="90" fillId="0" borderId="0" xfId="0" applyNumberFormat="1" applyFont="1" applyFill="1" applyBorder="1" applyAlignment="1" applyProtection="1">
      <alignment horizontal="left" indent="1"/>
      <protection locked="0"/>
    </xf>
    <xf numFmtId="0" fontId="15" fillId="0" borderId="0" xfId="2" applyBorder="1" applyAlignment="1" applyProtection="1">
      <alignment horizontal="right"/>
    </xf>
    <xf numFmtId="0" fontId="171" fillId="0" borderId="0" xfId="0" applyFont="1" applyBorder="1" applyAlignment="1" applyProtection="1">
      <alignment horizontal="center"/>
    </xf>
    <xf numFmtId="0" fontId="124" fillId="0" borderId="0" xfId="0" applyFont="1" applyBorder="1" applyAlignment="1" applyProtection="1">
      <alignment horizontal="right"/>
    </xf>
    <xf numFmtId="0" fontId="82" fillId="15" borderId="54" xfId="0" applyFont="1" applyFill="1" applyBorder="1" applyAlignment="1" applyProtection="1">
      <alignment horizontal="center"/>
    </xf>
    <xf numFmtId="0" fontId="82" fillId="15" borderId="1" xfId="0" applyFont="1" applyFill="1" applyBorder="1" applyAlignment="1" applyProtection="1">
      <alignment horizontal="center"/>
    </xf>
    <xf numFmtId="0" fontId="90" fillId="0" borderId="10" xfId="0" applyFont="1" applyBorder="1"/>
    <xf numFmtId="0" fontId="90" fillId="0" borderId="19" xfId="0" applyFont="1" applyBorder="1" applyProtection="1"/>
    <xf numFmtId="0" fontId="39" fillId="0" borderId="30" xfId="0" applyFont="1" applyBorder="1" applyAlignment="1" applyProtection="1">
      <alignment horizontal="left" readingOrder="1"/>
    </xf>
    <xf numFmtId="0" fontId="90" fillId="0" borderId="32" xfId="0" applyFont="1" applyBorder="1" applyProtection="1"/>
    <xf numFmtId="0" fontId="40" fillId="0" borderId="13" xfId="0" applyNumberFormat="1" applyFont="1" applyBorder="1" applyAlignment="1" applyProtection="1">
      <alignment horizontal="left"/>
    </xf>
    <xf numFmtId="165" fontId="90" fillId="0" borderId="13" xfId="1" applyNumberFormat="1" applyFont="1" applyBorder="1" applyAlignment="1" applyProtection="1">
      <alignment horizontal="left" vertical="center"/>
    </xf>
    <xf numFmtId="0" fontId="90" fillId="0" borderId="15" xfId="0" applyFont="1" applyBorder="1" applyProtection="1"/>
    <xf numFmtId="0" fontId="90" fillId="0" borderId="49" xfId="0" applyNumberFormat="1" applyFont="1" applyBorder="1" applyAlignment="1" applyProtection="1">
      <alignment horizontal="left"/>
    </xf>
    <xf numFmtId="0" fontId="90" fillId="0" borderId="31" xfId="0" applyFont="1" applyBorder="1" applyProtection="1"/>
    <xf numFmtId="0" fontId="61" fillId="15" borderId="1" xfId="0" applyFont="1" applyFill="1" applyBorder="1" applyAlignment="1" applyProtection="1">
      <alignment horizontal="center"/>
    </xf>
    <xf numFmtId="0" fontId="61" fillId="15" borderId="2" xfId="0" applyFont="1" applyFill="1" applyBorder="1" applyAlignment="1" applyProtection="1">
      <alignment horizontal="center"/>
    </xf>
    <xf numFmtId="0" fontId="84" fillId="0" borderId="3" xfId="0" applyFont="1" applyBorder="1" applyAlignment="1" applyProtection="1">
      <alignment horizontal="center" vertical="center"/>
    </xf>
    <xf numFmtId="0" fontId="172" fillId="18" borderId="36" xfId="0" applyFont="1" applyFill="1" applyBorder="1" applyAlignment="1" applyProtection="1">
      <alignment horizontal="center" vertical="center"/>
    </xf>
    <xf numFmtId="0" fontId="173" fillId="0" borderId="0" xfId="0" applyFont="1" applyBorder="1" applyAlignment="1" applyProtection="1">
      <alignment horizontal="right" vertical="center"/>
    </xf>
    <xf numFmtId="0" fontId="0" fillId="0" borderId="23" xfId="0" applyNumberFormat="1" applyFont="1" applyBorder="1" applyAlignment="1" applyProtection="1">
      <alignment horizontal="center"/>
    </xf>
    <xf numFmtId="0" fontId="15" fillId="0" borderId="13" xfId="2" applyBorder="1" applyAlignment="1" applyProtection="1">
      <alignment horizontal="left" indent="4"/>
    </xf>
    <xf numFmtId="0" fontId="0" fillId="0" borderId="0" xfId="0" applyBorder="1" applyAlignment="1">
      <alignment horizontal="left" indent="4"/>
    </xf>
    <xf numFmtId="0" fontId="0" fillId="0" borderId="20" xfId="0" applyBorder="1" applyAlignment="1">
      <alignment horizontal="left" indent="4"/>
    </xf>
    <xf numFmtId="0" fontId="39" fillId="0" borderId="13" xfId="0" applyFont="1" applyBorder="1" applyAlignment="1" applyProtection="1">
      <alignment horizontal="left" readingOrder="1"/>
    </xf>
    <xf numFmtId="0" fontId="40" fillId="0" borderId="13" xfId="0" applyNumberFormat="1" applyFont="1" applyBorder="1" applyAlignment="1" applyProtection="1">
      <alignment horizontal="center"/>
    </xf>
    <xf numFmtId="6" fontId="90" fillId="0" borderId="13" xfId="0" applyNumberFormat="1" applyFont="1" applyBorder="1" applyAlignment="1" applyProtection="1">
      <alignment horizontal="center"/>
    </xf>
    <xf numFmtId="0" fontId="155" fillId="0" borderId="20" xfId="0" applyNumberFormat="1" applyFont="1" applyBorder="1" applyAlignment="1" applyProtection="1">
      <alignment horizontal="left"/>
    </xf>
    <xf numFmtId="49" fontId="90" fillId="15" borderId="52" xfId="0" applyNumberFormat="1" applyFont="1" applyFill="1" applyBorder="1" applyAlignment="1" applyProtection="1">
      <alignment horizontal="left" indent="1"/>
      <protection locked="0"/>
    </xf>
    <xf numFmtId="0" fontId="39" fillId="0" borderId="29" xfId="0" applyFont="1" applyBorder="1" applyAlignment="1" applyProtection="1">
      <alignment horizontal="left" readingOrder="1"/>
    </xf>
    <xf numFmtId="49" fontId="90" fillId="15" borderId="32" xfId="0" applyNumberFormat="1" applyFont="1" applyFill="1" applyBorder="1" applyAlignment="1" applyProtection="1">
      <alignment horizontal="left" indent="1"/>
      <protection locked="0"/>
    </xf>
    <xf numFmtId="49" fontId="90" fillId="0" borderId="20" xfId="0" applyNumberFormat="1" applyFont="1" applyBorder="1" applyAlignment="1" applyProtection="1">
      <alignment horizontal="left" indent="1"/>
      <protection locked="0"/>
    </xf>
    <xf numFmtId="0" fontId="40" fillId="0" borderId="51" xfId="0" applyNumberFormat="1" applyFont="1" applyBorder="1" applyAlignment="1" applyProtection="1">
      <alignment wrapText="1"/>
    </xf>
    <xf numFmtId="49" fontId="90" fillId="0" borderId="20" xfId="0" applyNumberFormat="1" applyFont="1" applyFill="1" applyBorder="1" applyAlignment="1" applyProtection="1">
      <alignment horizontal="center"/>
    </xf>
    <xf numFmtId="49" fontId="90" fillId="0" borderId="15" xfId="0" applyNumberFormat="1" applyFont="1" applyFill="1" applyBorder="1" applyAlignment="1" applyProtection="1">
      <alignment horizontal="left"/>
    </xf>
    <xf numFmtId="0" fontId="40" fillId="0" borderId="13" xfId="0" applyFont="1" applyFill="1" applyBorder="1" applyProtection="1"/>
    <xf numFmtId="0" fontId="40" fillId="0" borderId="15" xfId="0" applyNumberFormat="1" applyFont="1" applyBorder="1" applyAlignment="1" applyProtection="1">
      <alignment wrapText="1"/>
    </xf>
    <xf numFmtId="49" fontId="90" fillId="15" borderId="51" xfId="0" applyNumberFormat="1" applyFont="1" applyFill="1" applyBorder="1" applyAlignment="1" applyProtection="1">
      <alignment horizontal="left" indent="1"/>
      <protection locked="0"/>
    </xf>
    <xf numFmtId="0" fontId="157" fillId="0" borderId="0" xfId="0" applyFont="1" applyBorder="1" applyProtection="1"/>
    <xf numFmtId="49" fontId="90" fillId="15" borderId="20" xfId="0" applyNumberFormat="1" applyFont="1" applyFill="1" applyBorder="1" applyAlignment="1" applyProtection="1">
      <alignment horizontal="left" indent="1"/>
      <protection locked="0"/>
    </xf>
    <xf numFmtId="49" fontId="90" fillId="0" borderId="32" xfId="0" applyNumberFormat="1" applyFont="1" applyBorder="1" applyAlignment="1" applyProtection="1">
      <alignment horizontal="left" indent="1"/>
      <protection locked="0"/>
    </xf>
    <xf numFmtId="0" fontId="149" fillId="0" borderId="22" xfId="0" applyFont="1" applyBorder="1" applyAlignment="1" applyProtection="1">
      <alignment horizontal="left" vertical="center" wrapText="1"/>
    </xf>
    <xf numFmtId="0" fontId="149" fillId="0" borderId="23" xfId="0" applyFont="1" applyBorder="1" applyAlignment="1" applyProtection="1">
      <alignment horizontal="left" vertical="center" wrapText="1"/>
    </xf>
    <xf numFmtId="0" fontId="0" fillId="0" borderId="20" xfId="0" applyBorder="1"/>
    <xf numFmtId="0" fontId="171" fillId="0" borderId="22" xfId="0" applyFont="1" applyBorder="1" applyAlignment="1" applyProtection="1">
      <alignment horizontal="right"/>
    </xf>
    <xf numFmtId="0" fontId="97" fillId="13" borderId="22" xfId="0" applyFont="1" applyFill="1" applyBorder="1" applyAlignment="1" applyProtection="1">
      <alignment horizontal="left"/>
    </xf>
    <xf numFmtId="0" fontId="97" fillId="13" borderId="79" xfId="0" applyFont="1" applyFill="1" applyBorder="1" applyAlignment="1" applyProtection="1">
      <alignment horizontal="left"/>
    </xf>
    <xf numFmtId="0" fontId="0" fillId="0" borderId="23" xfId="0" applyBorder="1"/>
    <xf numFmtId="0" fontId="144" fillId="13" borderId="17" xfId="0" applyFont="1" applyFill="1" applyBorder="1" applyAlignment="1" applyProtection="1">
      <alignment horizontal="left"/>
    </xf>
    <xf numFmtId="0" fontId="15" fillId="0" borderId="0" xfId="2" applyBorder="1" applyAlignment="1" applyProtection="1">
      <alignment horizontal="center"/>
    </xf>
    <xf numFmtId="49" fontId="90" fillId="17" borderId="14" xfId="0" applyNumberFormat="1" applyFont="1" applyFill="1" applyBorder="1" applyAlignment="1" applyProtection="1">
      <alignment horizontal="center"/>
      <protection locked="0"/>
    </xf>
    <xf numFmtId="165" fontId="90" fillId="0" borderId="36" xfId="0" applyNumberFormat="1" applyFont="1" applyBorder="1" applyAlignment="1" applyProtection="1">
      <alignment horizontal="center"/>
    </xf>
    <xf numFmtId="165" fontId="40" fillId="0" borderId="36" xfId="0" applyNumberFormat="1" applyFont="1" applyBorder="1" applyAlignment="1" applyProtection="1">
      <alignment horizontal="center"/>
    </xf>
    <xf numFmtId="0" fontId="117" fillId="0" borderId="0" xfId="0" applyFont="1" applyFill="1" applyBorder="1" applyAlignment="1" applyProtection="1">
      <alignment horizontal="center" vertical="top" wrapText="1"/>
    </xf>
    <xf numFmtId="0" fontId="0" fillId="0" borderId="1" xfId="0" applyFont="1" applyBorder="1" applyAlignment="1" applyProtection="1">
      <alignment horizontal="center" vertical="center" wrapText="1"/>
    </xf>
    <xf numFmtId="49" fontId="174" fillId="0" borderId="0" xfId="0" applyNumberFormat="1" applyFont="1" applyAlignment="1" applyProtection="1">
      <alignment readingOrder="1"/>
    </xf>
    <xf numFmtId="0" fontId="39" fillId="0" borderId="0" xfId="0" applyFont="1" applyAlignment="1" applyProtection="1">
      <alignment vertical="center" wrapText="1"/>
    </xf>
    <xf numFmtId="0" fontId="115" fillId="0" borderId="0" xfId="0" applyFont="1" applyAlignment="1" applyProtection="1">
      <alignment vertical="center" wrapText="1"/>
    </xf>
    <xf numFmtId="0" fontId="90" fillId="0" borderId="0" xfId="0" applyFont="1" applyAlignment="1" applyProtection="1">
      <alignment vertical="center"/>
    </xf>
    <xf numFmtId="0" fontId="141" fillId="0" borderId="0" xfId="0" applyFont="1" applyAlignment="1" applyProtection="1">
      <alignment vertical="center" wrapText="1"/>
    </xf>
    <xf numFmtId="49" fontId="115" fillId="0" borderId="0" xfId="0" applyNumberFormat="1" applyFont="1" applyAlignment="1" applyProtection="1">
      <alignment vertical="center" wrapText="1"/>
    </xf>
    <xf numFmtId="0" fontId="40" fillId="0" borderId="0" xfId="0" applyFont="1" applyAlignment="1" applyProtection="1">
      <alignment vertical="center" wrapText="1"/>
    </xf>
    <xf numFmtId="0" fontId="101" fillId="0" borderId="0" xfId="0" applyFont="1" applyBorder="1" applyAlignment="1" applyProtection="1">
      <alignment horizontal="center" vertical="center"/>
    </xf>
    <xf numFmtId="0" fontId="101" fillId="0" borderId="0" xfId="0" applyFont="1" applyAlignment="1" applyProtection="1">
      <alignment horizontal="center" vertical="center"/>
    </xf>
    <xf numFmtId="0" fontId="116" fillId="0" borderId="0" xfId="0" applyFont="1" applyAlignment="1" applyProtection="1">
      <alignment vertical="center" wrapText="1"/>
    </xf>
    <xf numFmtId="0" fontId="115" fillId="0" borderId="0" xfId="0" applyFont="1" applyBorder="1" applyAlignment="1" applyProtection="1">
      <alignment vertical="center" wrapText="1"/>
    </xf>
    <xf numFmtId="0" fontId="90" fillId="0" borderId="0" xfId="0" applyFont="1" applyBorder="1" applyAlignment="1" applyProtection="1">
      <alignment vertical="center"/>
    </xf>
    <xf numFmtId="0" fontId="5" fillId="0" borderId="0" xfId="0" applyFont="1" applyFill="1" applyAlignment="1" applyProtection="1">
      <alignment horizontal="center" readingOrder="1"/>
    </xf>
    <xf numFmtId="0" fontId="57" fillId="0" borderId="0" xfId="0" applyFont="1" applyAlignment="1" applyProtection="1">
      <alignment horizontal="center"/>
    </xf>
    <xf numFmtId="0" fontId="87" fillId="0" borderId="19" xfId="0" applyNumberFormat="1" applyFont="1" applyFill="1" applyBorder="1" applyAlignment="1" applyProtection="1">
      <alignment horizontal="right"/>
    </xf>
    <xf numFmtId="0" fontId="87" fillId="0" borderId="20" xfId="0" applyNumberFormat="1" applyFont="1" applyFill="1" applyBorder="1" applyAlignment="1" applyProtection="1">
      <alignment horizontal="right"/>
    </xf>
    <xf numFmtId="49" fontId="87" fillId="0" borderId="20" xfId="0" applyNumberFormat="1" applyFont="1" applyFill="1" applyBorder="1" applyAlignment="1" applyProtection="1">
      <alignment horizontal="right"/>
    </xf>
    <xf numFmtId="49" fontId="79" fillId="0" borderId="20" xfId="0" applyNumberFormat="1" applyFont="1" applyFill="1" applyBorder="1" applyAlignment="1" applyProtection="1">
      <alignment horizontal="right"/>
    </xf>
    <xf numFmtId="0" fontId="79" fillId="0" borderId="19" xfId="0" applyFont="1" applyFill="1" applyBorder="1" applyAlignment="1" applyProtection="1">
      <alignment horizontal="right"/>
    </xf>
    <xf numFmtId="0" fontId="174" fillId="0" borderId="13" xfId="0" applyFont="1" applyBorder="1" applyAlignment="1" applyProtection="1"/>
    <xf numFmtId="0" fontId="174" fillId="0" borderId="0" xfId="0" applyFont="1" applyBorder="1" applyAlignment="1" applyProtection="1"/>
    <xf numFmtId="0" fontId="174" fillId="0" borderId="13" xfId="0" applyNumberFormat="1" applyFont="1" applyBorder="1" applyAlignment="1" applyProtection="1"/>
    <xf numFmtId="0" fontId="40" fillId="0" borderId="13" xfId="0" applyNumberFormat="1" applyFont="1" applyBorder="1" applyAlignment="1" applyProtection="1">
      <alignment horizontal="left" indent="2"/>
    </xf>
    <xf numFmtId="0" fontId="87" fillId="0" borderId="19" xfId="0" applyFont="1" applyFill="1" applyBorder="1" applyAlignment="1" applyProtection="1">
      <alignment horizontal="right"/>
    </xf>
    <xf numFmtId="0" fontId="63" fillId="8" borderId="15" xfId="0" applyFont="1" applyFill="1" applyBorder="1" applyAlignment="1" applyProtection="1">
      <alignment horizontal="left"/>
      <protection locked="0"/>
    </xf>
    <xf numFmtId="0" fontId="59" fillId="6" borderId="0" xfId="0" applyFont="1" applyFill="1" applyBorder="1" applyAlignment="1" applyProtection="1">
      <alignment horizontal="center" vertical="center"/>
      <protection locked="0"/>
    </xf>
    <xf numFmtId="16" fontId="0" fillId="0" borderId="0" xfId="0" applyNumberFormat="1" applyFont="1" applyFill="1" applyBorder="1" applyAlignment="1" applyProtection="1">
      <alignment horizontal="center"/>
    </xf>
    <xf numFmtId="0" fontId="0" fillId="0" borderId="9" xfId="0" applyFont="1" applyBorder="1" applyAlignment="1" applyProtection="1"/>
    <xf numFmtId="0" fontId="63" fillId="8" borderId="15" xfId="0" applyFont="1" applyFill="1" applyBorder="1" applyAlignment="1" applyProtection="1">
      <alignment horizontal="left"/>
      <protection locked="0"/>
    </xf>
    <xf numFmtId="0" fontId="0" fillId="0" borderId="1" xfId="0" applyFont="1" applyBorder="1" applyAlignment="1" applyProtection="1">
      <alignment horizontal="left"/>
    </xf>
    <xf numFmtId="0" fontId="0" fillId="0" borderId="9" xfId="0" applyFont="1" applyBorder="1" applyAlignment="1" applyProtection="1"/>
    <xf numFmtId="0" fontId="63" fillId="8" borderId="15" xfId="0" applyFont="1" applyFill="1" applyBorder="1" applyAlignment="1" applyProtection="1">
      <alignment horizontal="left"/>
      <protection locked="0"/>
    </xf>
    <xf numFmtId="11" fontId="0" fillId="8" borderId="13" xfId="0" applyNumberFormat="1" applyFont="1" applyFill="1" applyBorder="1" applyAlignment="1" applyProtection="1"/>
    <xf numFmtId="167" fontId="0" fillId="8" borderId="13" xfId="0" applyNumberFormat="1" applyFill="1" applyBorder="1" applyProtection="1"/>
    <xf numFmtId="0" fontId="101" fillId="0" borderId="0" xfId="0" applyFont="1" applyAlignment="1">
      <alignment horizontal="left" wrapText="1"/>
    </xf>
    <xf numFmtId="0" fontId="61" fillId="0" borderId="0" xfId="0" applyFont="1"/>
    <xf numFmtId="0" fontId="63" fillId="15" borderId="0" xfId="0" applyNumberFormat="1" applyFont="1" applyFill="1" applyBorder="1" applyAlignment="1" applyProtection="1">
      <alignment horizontal="center"/>
    </xf>
    <xf numFmtId="0" fontId="63" fillId="15" borderId="0" xfId="0" applyFont="1" applyFill="1" applyBorder="1" applyAlignment="1" applyProtection="1"/>
    <xf numFmtId="49" fontId="63" fillId="15" borderId="0" xfId="0" applyNumberFormat="1" applyFont="1" applyFill="1" applyBorder="1" applyAlignment="1" applyProtection="1">
      <alignment horizontal="center"/>
    </xf>
    <xf numFmtId="0" fontId="63" fillId="15" borderId="1" xfId="0" applyNumberFormat="1" applyFont="1" applyFill="1" applyBorder="1" applyAlignment="1" applyProtection="1">
      <alignment horizontal="center"/>
    </xf>
    <xf numFmtId="49" fontId="63" fillId="15" borderId="1" xfId="0" applyNumberFormat="1" applyFont="1" applyFill="1" applyBorder="1" applyAlignment="1" applyProtection="1">
      <alignment horizontal="center"/>
    </xf>
    <xf numFmtId="0" fontId="63" fillId="15" borderId="1" xfId="0" applyFont="1" applyFill="1" applyBorder="1" applyAlignment="1" applyProtection="1">
      <alignment horizontal="left"/>
    </xf>
    <xf numFmtId="0" fontId="63" fillId="15" borderId="1" xfId="0" applyFont="1" applyFill="1" applyBorder="1" applyAlignment="1" applyProtection="1"/>
    <xf numFmtId="0" fontId="0" fillId="15" borderId="1" xfId="0" applyFill="1" applyBorder="1" applyProtection="1"/>
    <xf numFmtId="0" fontId="63" fillId="15" borderId="1" xfId="0" applyNumberFormat="1" applyFont="1" applyFill="1" applyBorder="1" applyAlignment="1" applyProtection="1">
      <alignment horizontal="center" vertical="center"/>
    </xf>
    <xf numFmtId="0" fontId="0" fillId="15" borderId="0" xfId="0" applyFill="1" applyBorder="1" applyProtection="1"/>
    <xf numFmtId="0" fontId="0" fillId="15" borderId="0" xfId="0" applyFont="1" applyFill="1" applyBorder="1" applyAlignment="1" applyProtection="1"/>
    <xf numFmtId="0" fontId="0" fillId="15" borderId="1" xfId="0" applyNumberFormat="1" applyFont="1" applyFill="1" applyBorder="1" applyAlignment="1" applyProtection="1">
      <alignment horizontal="center"/>
    </xf>
    <xf numFmtId="9" fontId="0" fillId="0" borderId="0" xfId="80" applyFont="1" applyProtection="1"/>
    <xf numFmtId="168" fontId="62" fillId="0" borderId="0" xfId="1" applyNumberFormat="1" applyFont="1" applyProtection="1"/>
    <xf numFmtId="0" fontId="0" fillId="0" borderId="0" xfId="0" applyFont="1" applyFill="1" applyBorder="1" applyAlignment="1" applyProtection="1">
      <alignment wrapText="1"/>
    </xf>
    <xf numFmtId="0" fontId="63" fillId="15" borderId="0" xfId="0" applyFont="1" applyFill="1" applyBorder="1" applyAlignment="1" applyProtection="1">
      <alignment horizontal="left"/>
    </xf>
    <xf numFmtId="0" fontId="63" fillId="15" borderId="0" xfId="0" applyNumberFormat="1" applyFont="1" applyFill="1" applyBorder="1" applyAlignment="1" applyProtection="1">
      <alignment horizontal="center" vertical="center"/>
    </xf>
    <xf numFmtId="49" fontId="0" fillId="15" borderId="0" xfId="0" applyNumberFormat="1" applyFont="1" applyFill="1" applyBorder="1" applyAlignment="1" applyProtection="1">
      <alignment horizontal="center"/>
    </xf>
    <xf numFmtId="0" fontId="0" fillId="15" borderId="0" xfId="0" applyNumberFormat="1" applyFont="1" applyFill="1" applyBorder="1" applyAlignment="1" applyProtection="1">
      <alignment horizontal="center"/>
    </xf>
    <xf numFmtId="0" fontId="0" fillId="15" borderId="20" xfId="0" applyFont="1" applyFill="1" applyBorder="1" applyAlignment="1" applyProtection="1"/>
    <xf numFmtId="0" fontId="80" fillId="15" borderId="0" xfId="0" applyFont="1" applyFill="1" applyBorder="1" applyAlignment="1" applyProtection="1">
      <alignment horizontal="center" vertical="center"/>
    </xf>
    <xf numFmtId="0" fontId="0" fillId="0" borderId="0" xfId="81" applyNumberFormat="1" applyFont="1" applyProtection="1"/>
    <xf numFmtId="22" fontId="0" fillId="0" borderId="0" xfId="0" applyNumberFormat="1" applyFont="1" applyProtection="1"/>
    <xf numFmtId="49" fontId="0" fillId="15" borderId="1" xfId="0" applyNumberFormat="1" applyFont="1" applyFill="1" applyBorder="1" applyAlignment="1" applyProtection="1">
      <alignment horizontal="center"/>
    </xf>
    <xf numFmtId="0" fontId="0" fillId="15" borderId="1" xfId="0" applyFill="1" applyBorder="1" applyAlignment="1" applyProtection="1"/>
    <xf numFmtId="0" fontId="0" fillId="15" borderId="1" xfId="0" applyNumberFormat="1" applyFill="1" applyBorder="1" applyAlignment="1" applyProtection="1">
      <alignment horizontal="center"/>
    </xf>
    <xf numFmtId="0" fontId="0" fillId="15" borderId="1" xfId="0" applyNumberFormat="1" applyFont="1" applyFill="1" applyBorder="1" applyAlignment="1" applyProtection="1">
      <alignment horizontal="center" vertical="center"/>
    </xf>
    <xf numFmtId="0" fontId="62" fillId="0" borderId="7" xfId="0" applyFont="1" applyBorder="1" applyAlignment="1" applyProtection="1"/>
    <xf numFmtId="0" fontId="0" fillId="15" borderId="13" xfId="0" applyFont="1" applyFill="1" applyBorder="1" applyProtection="1"/>
    <xf numFmtId="0" fontId="62" fillId="0" borderId="1" xfId="0" applyFont="1" applyBorder="1" applyAlignment="1" applyProtection="1">
      <alignment horizontal="left"/>
    </xf>
    <xf numFmtId="0" fontId="63" fillId="7" borderId="1" xfId="0" applyFont="1" applyFill="1" applyBorder="1" applyAlignment="1" applyProtection="1">
      <alignment horizontal="center"/>
      <protection locked="0"/>
    </xf>
    <xf numFmtId="0" fontId="0" fillId="15" borderId="0" xfId="0" applyNumberFormat="1" applyFont="1" applyFill="1" applyBorder="1" applyAlignment="1" applyProtection="1">
      <alignment horizontal="center" vertical="center"/>
    </xf>
    <xf numFmtId="0" fontId="63" fillId="7" borderId="1" xfId="0" applyFont="1" applyFill="1" applyBorder="1" applyAlignment="1" applyProtection="1">
      <alignment horizontal="center"/>
      <protection locked="0"/>
    </xf>
    <xf numFmtId="0" fontId="0" fillId="0" borderId="43" xfId="0" applyFont="1" applyFill="1" applyBorder="1" applyAlignment="1" applyProtection="1"/>
    <xf numFmtId="0" fontId="59" fillId="6" borderId="11" xfId="0" applyFont="1" applyFill="1" applyBorder="1" applyAlignment="1" applyProtection="1">
      <alignment horizontal="center"/>
    </xf>
    <xf numFmtId="0" fontId="0" fillId="0" borderId="11" xfId="0" applyNumberFormat="1" applyFont="1" applyFill="1" applyBorder="1" applyAlignment="1" applyProtection="1">
      <alignment horizontal="center"/>
    </xf>
    <xf numFmtId="0" fontId="79" fillId="0" borderId="11" xfId="0" applyFont="1" applyFill="1" applyBorder="1" applyAlignment="1" applyProtection="1"/>
    <xf numFmtId="0" fontId="125" fillId="0" borderId="11" xfId="0" applyFont="1" applyFill="1" applyBorder="1" applyAlignment="1" applyProtection="1"/>
    <xf numFmtId="0" fontId="63" fillId="0" borderId="11" xfId="0" applyFont="1" applyFill="1" applyBorder="1" applyAlignment="1" applyProtection="1"/>
    <xf numFmtId="0" fontId="0" fillId="0" borderId="43" xfId="0" applyFill="1" applyBorder="1" applyProtection="1"/>
    <xf numFmtId="0" fontId="96" fillId="0" borderId="43" xfId="0" applyFont="1" applyFill="1" applyBorder="1" applyAlignment="1" applyProtection="1"/>
    <xf numFmtId="0" fontId="99" fillId="6" borderId="11" xfId="0" applyFont="1" applyFill="1" applyBorder="1" applyAlignment="1" applyProtection="1">
      <alignment horizontal="center"/>
    </xf>
    <xf numFmtId="0" fontId="96" fillId="0" borderId="11" xfId="0" applyNumberFormat="1" applyFont="1" applyFill="1" applyBorder="1" applyAlignment="1" applyProtection="1">
      <alignment horizontal="center"/>
    </xf>
    <xf numFmtId="0" fontId="96" fillId="0" borderId="11" xfId="0" applyFont="1" applyFill="1" applyBorder="1" applyAlignment="1" applyProtection="1">
      <alignment horizontal="left"/>
    </xf>
    <xf numFmtId="0" fontId="78" fillId="0" borderId="11" xfId="0" applyFont="1" applyFill="1" applyBorder="1" applyAlignment="1" applyProtection="1"/>
    <xf numFmtId="0" fontId="78" fillId="0" borderId="11" xfId="0" applyNumberFormat="1" applyFont="1" applyFill="1" applyBorder="1" applyAlignment="1" applyProtection="1">
      <alignment horizontal="center"/>
    </xf>
    <xf numFmtId="0" fontId="0" fillId="0" borderId="11" xfId="0" applyFont="1" applyFill="1" applyBorder="1" applyAlignment="1" applyProtection="1"/>
    <xf numFmtId="0" fontId="62" fillId="0" borderId="1" xfId="0" applyFont="1" applyFill="1" applyBorder="1" applyAlignment="1" applyProtection="1"/>
    <xf numFmtId="0" fontId="63" fillId="8" borderId="15" xfId="0" applyFont="1" applyFill="1" applyBorder="1" applyAlignment="1" applyProtection="1">
      <alignment horizontal="left"/>
      <protection locked="0"/>
    </xf>
    <xf numFmtId="16" fontId="0" fillId="15" borderId="1" xfId="0" quotePrefix="1" applyNumberFormat="1" applyFont="1" applyFill="1" applyBorder="1" applyAlignment="1" applyProtection="1">
      <alignment horizontal="center"/>
    </xf>
    <xf numFmtId="0" fontId="66" fillId="0" borderId="0" xfId="0" applyFont="1" applyAlignment="1" applyProtection="1"/>
    <xf numFmtId="0" fontId="63" fillId="0" borderId="2" xfId="0" applyFont="1" applyBorder="1" applyAlignment="1" applyProtection="1">
      <alignment horizontal="center"/>
    </xf>
    <xf numFmtId="0" fontId="63" fillId="0" borderId="0" xfId="0" applyFont="1" applyAlignment="1" applyProtection="1">
      <alignment horizontal="center"/>
    </xf>
    <xf numFmtId="0" fontId="159" fillId="0" borderId="83" xfId="0" applyFont="1" applyBorder="1" applyAlignment="1">
      <alignment vertical="center"/>
    </xf>
    <xf numFmtId="0" fontId="63" fillId="0" borderId="84" xfId="0" applyFont="1" applyBorder="1" applyAlignment="1" applyProtection="1">
      <alignment horizontal="center"/>
    </xf>
    <xf numFmtId="0" fontId="63" fillId="19" borderId="0" xfId="0" applyFont="1" applyFill="1" applyBorder="1" applyProtection="1"/>
    <xf numFmtId="0" fontId="63" fillId="0" borderId="86" xfId="0" applyFont="1" applyBorder="1" applyAlignment="1" applyProtection="1">
      <alignment horizontal="center"/>
    </xf>
    <xf numFmtId="0" fontId="0" fillId="0" borderId="33" xfId="0" applyFont="1" applyBorder="1" applyAlignment="1" applyProtection="1"/>
    <xf numFmtId="0" fontId="63" fillId="20" borderId="85" xfId="0" applyFont="1" applyFill="1" applyBorder="1" applyAlignment="1" applyProtection="1">
      <alignment horizontal="center"/>
    </xf>
    <xf numFmtId="0" fontId="179" fillId="0" borderId="0" xfId="0" applyFont="1" applyFill="1" applyBorder="1" applyAlignment="1" applyProtection="1">
      <alignment horizontal="center"/>
    </xf>
    <xf numFmtId="0" fontId="180" fillId="0" borderId="0" xfId="0" applyFont="1" applyProtection="1"/>
    <xf numFmtId="0" fontId="181" fillId="0" borderId="0" xfId="0" applyFont="1" applyProtection="1"/>
    <xf numFmtId="0" fontId="182" fillId="8" borderId="30" xfId="0" applyFont="1" applyFill="1" applyBorder="1" applyAlignment="1" applyProtection="1"/>
    <xf numFmtId="0" fontId="182" fillId="8" borderId="6" xfId="0" applyFont="1" applyFill="1" applyBorder="1" applyAlignment="1" applyProtection="1"/>
    <xf numFmtId="49" fontId="183" fillId="8" borderId="32" xfId="0" applyNumberFormat="1" applyFont="1" applyFill="1" applyBorder="1" applyAlignment="1" applyProtection="1">
      <alignment horizontal="right"/>
    </xf>
    <xf numFmtId="0" fontId="180" fillId="0" borderId="0" xfId="0" applyFont="1" applyAlignment="1" applyProtection="1"/>
    <xf numFmtId="0" fontId="180" fillId="0" borderId="14" xfId="0" applyFont="1" applyBorder="1" applyProtection="1"/>
    <xf numFmtId="0" fontId="185" fillId="0" borderId="1" xfId="0" applyFont="1" applyBorder="1" applyAlignment="1" applyProtection="1">
      <alignment horizontal="center" wrapText="1"/>
    </xf>
    <xf numFmtId="0" fontId="187" fillId="0" borderId="0" xfId="0" applyFont="1" applyAlignment="1" applyProtection="1"/>
    <xf numFmtId="0" fontId="189" fillId="0" borderId="15" xfId="0" applyFont="1" applyBorder="1" applyAlignment="1" applyProtection="1"/>
    <xf numFmtId="0" fontId="190" fillId="0" borderId="0" xfId="0" applyFont="1" applyAlignment="1" applyProtection="1"/>
    <xf numFmtId="0" fontId="180" fillId="0" borderId="8" xfId="0" applyFont="1" applyBorder="1" applyAlignment="1" applyProtection="1">
      <alignment horizontal="center"/>
    </xf>
    <xf numFmtId="0" fontId="180" fillId="8" borderId="14" xfId="0" applyFont="1" applyFill="1" applyBorder="1" applyProtection="1"/>
    <xf numFmtId="0" fontId="180" fillId="7" borderId="1" xfId="0" applyFont="1" applyFill="1" applyBorder="1" applyAlignment="1" applyProtection="1">
      <alignment horizontal="center"/>
      <protection locked="0"/>
    </xf>
    <xf numFmtId="0" fontId="180" fillId="0" borderId="1" xfId="0" applyNumberFormat="1" applyFont="1" applyBorder="1" applyAlignment="1" applyProtection="1">
      <alignment horizontal="center"/>
    </xf>
    <xf numFmtId="0" fontId="186" fillId="8" borderId="15" xfId="0" applyFont="1" applyFill="1" applyBorder="1" applyAlignment="1" applyProtection="1">
      <alignment horizontal="left"/>
      <protection locked="0"/>
    </xf>
    <xf numFmtId="0" fontId="180" fillId="0" borderId="1" xfId="0" applyFont="1" applyBorder="1" applyAlignment="1" applyProtection="1">
      <alignment horizontal="center" vertical="center"/>
    </xf>
    <xf numFmtId="0" fontId="191" fillId="0" borderId="0" xfId="0" applyFont="1" applyAlignment="1" applyProtection="1">
      <alignment horizontal="center"/>
    </xf>
    <xf numFmtId="0" fontId="180" fillId="0" borderId="2" xfId="0" applyFont="1" applyBorder="1" applyAlignment="1" applyProtection="1">
      <alignment horizontal="center" vertical="center"/>
    </xf>
    <xf numFmtId="0" fontId="184" fillId="6" borderId="1" xfId="0" applyFont="1" applyFill="1" applyBorder="1" applyAlignment="1" applyProtection="1">
      <alignment horizontal="center"/>
    </xf>
    <xf numFmtId="49" fontId="180" fillId="0" borderId="1" xfId="0" applyNumberFormat="1" applyFont="1" applyFill="1" applyBorder="1" applyAlignment="1" applyProtection="1">
      <alignment horizontal="center"/>
    </xf>
    <xf numFmtId="0" fontId="180" fillId="0" borderId="0" xfId="0" applyFont="1" applyFill="1" applyBorder="1" applyAlignment="1" applyProtection="1"/>
    <xf numFmtId="0" fontId="180" fillId="0" borderId="0" xfId="0" applyFont="1" applyFill="1" applyBorder="1" applyAlignment="1" applyProtection="1">
      <alignment horizontal="center" vertical="center"/>
    </xf>
    <xf numFmtId="0" fontId="180" fillId="0" borderId="1" xfId="0" applyFont="1" applyBorder="1" applyAlignment="1" applyProtection="1"/>
    <xf numFmtId="0" fontId="180" fillId="15" borderId="1" xfId="0" applyFont="1" applyFill="1" applyBorder="1" applyAlignment="1" applyProtection="1"/>
    <xf numFmtId="0" fontId="180" fillId="0" borderId="0" xfId="0" applyFont="1" applyBorder="1" applyAlignment="1" applyProtection="1"/>
    <xf numFmtId="0" fontId="190" fillId="0" borderId="0" xfId="0" applyFont="1" applyBorder="1" applyAlignment="1" applyProtection="1"/>
    <xf numFmtId="0" fontId="180" fillId="0" borderId="3" xfId="0" applyFont="1" applyBorder="1" applyAlignment="1" applyProtection="1">
      <alignment horizontal="center" vertical="center"/>
    </xf>
    <xf numFmtId="0" fontId="180" fillId="15" borderId="1" xfId="0" applyNumberFormat="1" applyFont="1" applyFill="1" applyBorder="1" applyAlignment="1" applyProtection="1">
      <alignment horizontal="center"/>
    </xf>
    <xf numFmtId="0" fontId="180" fillId="8" borderId="30" xfId="0" applyFont="1" applyFill="1" applyBorder="1" applyProtection="1"/>
    <xf numFmtId="0" fontId="186" fillId="8" borderId="32" xfId="0" applyFont="1" applyFill="1" applyBorder="1" applyAlignment="1" applyProtection="1">
      <alignment horizontal="left"/>
      <protection locked="0"/>
    </xf>
    <xf numFmtId="0" fontId="180" fillId="0" borderId="0" xfId="0" applyFont="1" applyFill="1" applyBorder="1" applyAlignment="1" applyProtection="1">
      <alignment horizontal="center"/>
    </xf>
    <xf numFmtId="0" fontId="190" fillId="0" borderId="7" xfId="0" applyFont="1" applyBorder="1" applyAlignment="1" applyProtection="1"/>
    <xf numFmtId="0" fontId="180" fillId="0" borderId="1" xfId="0" applyFont="1" applyBorder="1" applyAlignment="1" applyProtection="1">
      <alignment horizontal="center"/>
    </xf>
    <xf numFmtId="0" fontId="192" fillId="8" borderId="15" xfId="0" applyFont="1" applyFill="1" applyBorder="1" applyAlignment="1" applyProtection="1">
      <protection locked="0"/>
    </xf>
    <xf numFmtId="0" fontId="184" fillId="6" borderId="54" xfId="0" applyFont="1" applyFill="1" applyBorder="1" applyAlignment="1" applyProtection="1">
      <alignment horizontal="center"/>
    </xf>
    <xf numFmtId="49" fontId="180" fillId="0" borderId="1" xfId="0" applyNumberFormat="1" applyFont="1" applyBorder="1" applyAlignment="1" applyProtection="1">
      <alignment horizontal="center"/>
    </xf>
    <xf numFmtId="0" fontId="186" fillId="0" borderId="1" xfId="0" applyFont="1" applyBorder="1" applyAlignment="1" applyProtection="1">
      <alignment horizontal="left" vertical="center"/>
    </xf>
    <xf numFmtId="0" fontId="186" fillId="0" borderId="1" xfId="0" applyFont="1" applyBorder="1" applyAlignment="1" applyProtection="1">
      <alignment vertical="center"/>
    </xf>
    <xf numFmtId="0" fontId="194" fillId="0" borderId="0" xfId="0" applyFont="1" applyBorder="1" applyAlignment="1" applyProtection="1">
      <alignment vertical="center" wrapText="1"/>
    </xf>
    <xf numFmtId="0" fontId="186" fillId="0" borderId="0" xfId="0" applyFont="1" applyFill="1" applyBorder="1" applyAlignment="1" applyProtection="1"/>
    <xf numFmtId="0" fontId="186" fillId="0" borderId="0" xfId="0" applyFont="1" applyFill="1" applyBorder="1" applyAlignment="1" applyProtection="1">
      <alignment horizontal="center" vertical="center"/>
    </xf>
    <xf numFmtId="0" fontId="186" fillId="0" borderId="0" xfId="0" applyFont="1" applyProtection="1"/>
    <xf numFmtId="0" fontId="180" fillId="0" borderId="3" xfId="0" applyFont="1" applyBorder="1" applyAlignment="1" applyProtection="1">
      <alignment horizontal="center"/>
    </xf>
    <xf numFmtId="0" fontId="180" fillId="0" borderId="0" xfId="0" applyFont="1" applyFill="1" applyBorder="1" applyProtection="1"/>
    <xf numFmtId="0" fontId="196" fillId="6" borderId="1" xfId="0" applyFont="1" applyFill="1" applyBorder="1" applyAlignment="1" applyProtection="1">
      <alignment horizontal="center"/>
    </xf>
    <xf numFmtId="0" fontId="195" fillId="0" borderId="0" xfId="0" applyFont="1" applyFill="1" applyAlignment="1" applyProtection="1"/>
    <xf numFmtId="0" fontId="180" fillId="0" borderId="0" xfId="0" applyFont="1" applyFill="1" applyAlignment="1" applyProtection="1"/>
    <xf numFmtId="0" fontId="180" fillId="13" borderId="9" xfId="0" applyFont="1" applyFill="1" applyBorder="1" applyAlignment="1" applyProtection="1"/>
    <xf numFmtId="0" fontId="180" fillId="13" borderId="6" xfId="0" applyFont="1" applyFill="1" applyBorder="1" applyAlignment="1" applyProtection="1"/>
    <xf numFmtId="0" fontId="180" fillId="13" borderId="10" xfId="0" applyFont="1" applyFill="1" applyBorder="1" applyAlignment="1" applyProtection="1"/>
    <xf numFmtId="0" fontId="198" fillId="0" borderId="0" xfId="0" applyFont="1" applyProtection="1"/>
    <xf numFmtId="0" fontId="199" fillId="0" borderId="0" xfId="0" applyFont="1" applyProtection="1"/>
    <xf numFmtId="0" fontId="199" fillId="0" borderId="0" xfId="0" applyFont="1" applyAlignment="1" applyProtection="1">
      <alignment horizontal="left" indent="2"/>
    </xf>
    <xf numFmtId="0" fontId="199" fillId="0" borderId="0" xfId="0" applyFont="1" applyAlignment="1" applyProtection="1">
      <alignment horizontal="left" indent="8"/>
    </xf>
    <xf numFmtId="0" fontId="200" fillId="0" borderId="0" xfId="0" applyFont="1" applyAlignment="1" applyProtection="1">
      <alignment horizontal="left" indent="8"/>
    </xf>
    <xf numFmtId="0" fontId="201" fillId="0" borderId="0" xfId="0" applyFont="1" applyAlignment="1" applyProtection="1">
      <alignment horizontal="center"/>
    </xf>
    <xf numFmtId="0" fontId="201" fillId="0" borderId="0" xfId="0" applyFont="1" applyFill="1" applyAlignment="1" applyProtection="1">
      <alignment horizontal="center"/>
    </xf>
    <xf numFmtId="16" fontId="63" fillId="0" borderId="0" xfId="0" quotePrefix="1" applyNumberFormat="1" applyFont="1" applyProtection="1"/>
    <xf numFmtId="0" fontId="180" fillId="0" borderId="9" xfId="0" applyFont="1" applyBorder="1" applyAlignment="1" applyProtection="1"/>
    <xf numFmtId="0" fontId="193" fillId="0" borderId="9" xfId="0" applyFont="1" applyBorder="1" applyAlignment="1" applyProtection="1"/>
    <xf numFmtId="0" fontId="180" fillId="0" borderId="6" xfId="0" applyFont="1" applyFill="1" applyBorder="1" applyAlignment="1" applyProtection="1"/>
    <xf numFmtId="0" fontId="195" fillId="0" borderId="9" xfId="0" applyFont="1" applyBorder="1" applyAlignment="1" applyProtection="1"/>
    <xf numFmtId="0" fontId="186" fillId="0" borderId="9" xfId="0" applyFont="1" applyBorder="1" applyAlignment="1" applyProtection="1"/>
    <xf numFmtId="3" fontId="59" fillId="21" borderId="1" xfId="0" applyNumberFormat="1" applyFont="1" applyFill="1" applyBorder="1" applyAlignment="1" applyProtection="1">
      <alignment horizontal="center"/>
      <protection locked="0"/>
    </xf>
    <xf numFmtId="0" fontId="0" fillId="22" borderId="1" xfId="0" applyFont="1" applyFill="1" applyBorder="1" applyAlignment="1" applyProtection="1">
      <alignment horizontal="center" vertical="center"/>
    </xf>
    <xf numFmtId="0" fontId="0" fillId="0" borderId="0" xfId="0" applyFont="1" applyAlignment="1" applyProtection="1">
      <alignment horizontal="left"/>
    </xf>
    <xf numFmtId="0" fontId="0" fillId="0" borderId="10" xfId="0" applyFont="1" applyBorder="1" applyAlignment="1" applyProtection="1">
      <alignment horizontal="center"/>
    </xf>
    <xf numFmtId="0" fontId="0" fillId="0" borderId="9" xfId="0" applyFont="1" applyBorder="1" applyAlignment="1" applyProtection="1"/>
    <xf numFmtId="0" fontId="0" fillId="0" borderId="0" xfId="0" applyFont="1" applyBorder="1" applyProtection="1"/>
    <xf numFmtId="0" fontId="0" fillId="0" borderId="7" xfId="0" applyFont="1" applyBorder="1" applyProtection="1"/>
    <xf numFmtId="0" fontId="62" fillId="0" borderId="9" xfId="0" applyFont="1" applyBorder="1" applyAlignment="1" applyProtection="1"/>
    <xf numFmtId="0" fontId="60" fillId="23" borderId="82" xfId="0" applyFont="1" applyFill="1" applyBorder="1" applyAlignment="1" applyProtection="1">
      <alignment horizontal="center" vertical="center" wrapText="1"/>
    </xf>
    <xf numFmtId="0" fontId="60" fillId="22" borderId="1" xfId="0" applyFont="1" applyFill="1" applyBorder="1" applyAlignment="1" applyProtection="1">
      <alignment horizontal="center" vertical="center"/>
    </xf>
    <xf numFmtId="3" fontId="90" fillId="17" borderId="1" xfId="0" applyNumberFormat="1" applyFont="1" applyFill="1" applyBorder="1" applyAlignment="1" applyProtection="1">
      <alignment horizontal="left" indent="1"/>
      <protection locked="0"/>
    </xf>
    <xf numFmtId="4" fontId="90" fillId="15" borderId="51" xfId="0" applyNumberFormat="1" applyFont="1" applyFill="1" applyBorder="1" applyAlignment="1" applyProtection="1">
      <alignment horizontal="left" indent="1"/>
      <protection locked="0"/>
    </xf>
    <xf numFmtId="0" fontId="40" fillId="0" borderId="0" xfId="0" applyFont="1" applyAlignment="1">
      <alignment horizontal="left"/>
    </xf>
    <xf numFmtId="0" fontId="99" fillId="0" borderId="0" xfId="0" applyFont="1" applyAlignment="1" applyProtection="1">
      <alignment horizontal="left" indent="8"/>
    </xf>
    <xf numFmtId="0" fontId="113" fillId="0" borderId="0" xfId="0" applyFont="1" applyFill="1" applyBorder="1" applyAlignment="1" applyProtection="1">
      <alignment horizontal="center"/>
    </xf>
    <xf numFmtId="0" fontId="59" fillId="0" borderId="0" xfId="0" applyFont="1" applyAlignment="1" applyProtection="1">
      <alignment horizontal="center" vertical="center"/>
    </xf>
    <xf numFmtId="0" fontId="59" fillId="0" borderId="0" xfId="0" applyFont="1" applyBorder="1" applyAlignment="1" applyProtection="1">
      <alignment horizontal="center" vertical="center" wrapText="1"/>
    </xf>
    <xf numFmtId="0" fontId="98" fillId="0" borderId="0" xfId="0" applyFont="1" applyAlignment="1" applyProtection="1">
      <alignment horizontal="center"/>
    </xf>
    <xf numFmtId="0" fontId="99" fillId="0" borderId="0" xfId="0" applyFont="1" applyAlignment="1" applyProtection="1">
      <alignment horizontal="center"/>
    </xf>
    <xf numFmtId="0" fontId="99" fillId="0" borderId="0" xfId="0" applyFont="1" applyProtection="1"/>
    <xf numFmtId="0" fontId="59" fillId="0" borderId="0" xfId="0" applyNumberFormat="1" applyFont="1" applyAlignment="1" applyProtection="1">
      <alignment horizontal="center"/>
    </xf>
    <xf numFmtId="0" fontId="201" fillId="0" borderId="0" xfId="0" applyFont="1" applyBorder="1" applyAlignment="1" applyProtection="1">
      <alignment horizontal="center"/>
    </xf>
    <xf numFmtId="0" fontId="98" fillId="0" borderId="0" xfId="0" applyFont="1" applyBorder="1" applyAlignment="1" applyProtection="1">
      <alignment horizontal="center"/>
    </xf>
    <xf numFmtId="9" fontId="59" fillId="0" borderId="0" xfId="0" applyNumberFormat="1" applyFont="1" applyAlignment="1" applyProtection="1">
      <alignment horizontal="center"/>
    </xf>
    <xf numFmtId="9" fontId="59" fillId="0" borderId="0" xfId="0" applyNumberFormat="1" applyFont="1" applyFill="1" applyAlignment="1" applyProtection="1">
      <alignment horizontal="center"/>
    </xf>
    <xf numFmtId="0" fontId="98" fillId="0" borderId="0" xfId="0" applyFont="1" applyFill="1" applyAlignment="1" applyProtection="1"/>
    <xf numFmtId="0" fontId="0" fillId="0" borderId="0" xfId="0" applyFont="1" applyBorder="1" applyAlignment="1" applyProtection="1">
      <alignment horizontal="right"/>
    </xf>
    <xf numFmtId="0" fontId="71" fillId="0" borderId="0" xfId="0" applyFont="1" applyFill="1" applyBorder="1" applyAlignment="1" applyProtection="1"/>
    <xf numFmtId="0" fontId="0" fillId="0" borderId="0" xfId="0" applyFont="1" applyBorder="1" applyAlignment="1" applyProtection="1">
      <alignment horizontal="center"/>
    </xf>
    <xf numFmtId="0" fontId="0" fillId="0" borderId="0" xfId="0" applyBorder="1" applyAlignment="1" applyProtection="1"/>
    <xf numFmtId="0" fontId="0" fillId="0" borderId="0" xfId="0" applyFont="1" applyBorder="1" applyAlignment="1" applyProtection="1"/>
    <xf numFmtId="0" fontId="87" fillId="0" borderId="21" xfId="0" applyFont="1" applyFill="1" applyBorder="1" applyAlignment="1" applyProtection="1"/>
    <xf numFmtId="0" fontId="87" fillId="0" borderId="22" xfId="0" applyFont="1" applyFill="1" applyBorder="1" applyAlignment="1" applyProtection="1"/>
    <xf numFmtId="0" fontId="59" fillId="6" borderId="0" xfId="0" applyFont="1" applyFill="1" applyBorder="1" applyAlignment="1" applyProtection="1">
      <alignment horizontal="center"/>
    </xf>
    <xf numFmtId="0" fontId="63" fillId="0" borderId="0" xfId="0" applyFont="1" applyFill="1" applyBorder="1" applyAlignment="1" applyProtection="1">
      <alignment horizontal="left"/>
    </xf>
    <xf numFmtId="0" fontId="0" fillId="0" borderId="13" xfId="0" applyFont="1" applyBorder="1" applyProtection="1"/>
    <xf numFmtId="0" fontId="0" fillId="0" borderId="0" xfId="0" applyFont="1" applyBorder="1" applyProtection="1"/>
    <xf numFmtId="0" fontId="180" fillId="0" borderId="9" xfId="0" applyFont="1" applyBorder="1" applyAlignment="1" applyProtection="1"/>
    <xf numFmtId="0" fontId="87" fillId="0" borderId="0" xfId="0" applyFont="1" applyFill="1" applyBorder="1" applyAlignment="1" applyProtection="1"/>
    <xf numFmtId="0" fontId="147" fillId="0" borderId="17" xfId="0" applyFont="1" applyFill="1" applyBorder="1" applyAlignment="1" applyProtection="1">
      <alignment horizontal="center"/>
    </xf>
    <xf numFmtId="0" fontId="147" fillId="0" borderId="18" xfId="0" applyFont="1" applyFill="1" applyBorder="1" applyAlignment="1" applyProtection="1">
      <alignment horizontal="center"/>
    </xf>
    <xf numFmtId="0" fontId="186" fillId="0" borderId="1" xfId="81" applyNumberFormat="1" applyFont="1" applyBorder="1" applyAlignment="1" applyProtection="1">
      <alignment horizontal="center" vertical="center"/>
    </xf>
    <xf numFmtId="0" fontId="202" fillId="0" borderId="0" xfId="0" applyFont="1" applyFill="1" applyBorder="1" applyAlignment="1" applyProtection="1"/>
    <xf numFmtId="169" fontId="90" fillId="17" borderId="1" xfId="0" applyNumberFormat="1" applyFont="1" applyFill="1" applyBorder="1" applyAlignment="1" applyProtection="1">
      <alignment horizontal="left" indent="1"/>
      <protection locked="0"/>
    </xf>
    <xf numFmtId="170" fontId="0" fillId="7" borderId="1" xfId="81" applyNumberFormat="1" applyFont="1" applyFill="1" applyBorder="1" applyAlignment="1" applyProtection="1">
      <alignment horizontal="left"/>
      <protection locked="0"/>
    </xf>
    <xf numFmtId="0" fontId="0" fillId="0" borderId="13" xfId="0" applyFill="1" applyBorder="1" applyAlignment="1" applyProtection="1">
      <alignment horizontal="center" vertical="center"/>
    </xf>
    <xf numFmtId="0" fontId="0" fillId="0" borderId="0" xfId="0" applyBorder="1"/>
    <xf numFmtId="49" fontId="141" fillId="0" borderId="0" xfId="0" applyNumberFormat="1" applyFont="1" applyAlignment="1" applyProtection="1">
      <alignment horizontal="center" readingOrder="1"/>
    </xf>
    <xf numFmtId="49" fontId="0" fillId="0" borderId="7" xfId="0" applyNumberFormat="1" applyFont="1" applyBorder="1" applyAlignment="1" applyProtection="1">
      <alignment horizontal="center"/>
    </xf>
    <xf numFmtId="0" fontId="0" fillId="0" borderId="0" xfId="0" applyFont="1" applyAlignment="1" applyProtection="1">
      <alignment horizontal="center"/>
    </xf>
    <xf numFmtId="0" fontId="0" fillId="0" borderId="0" xfId="0" applyFont="1" applyBorder="1" applyAlignment="1" applyProtection="1">
      <alignment horizontal="center"/>
    </xf>
    <xf numFmtId="0" fontId="0" fillId="0" borderId="0" xfId="0" applyFont="1" applyBorder="1" applyAlignment="1" applyProtection="1"/>
    <xf numFmtId="0" fontId="59" fillId="6" borderId="0" xfId="0" applyFont="1" applyFill="1" applyBorder="1" applyAlignment="1" applyProtection="1">
      <alignment horizontal="center"/>
    </xf>
    <xf numFmtId="0" fontId="63" fillId="0" borderId="0" xfId="0" applyFont="1" applyFill="1" applyBorder="1" applyAlignment="1" applyProtection="1">
      <alignment horizontal="left"/>
    </xf>
    <xf numFmtId="0" fontId="0" fillId="0" borderId="29" xfId="0" applyFont="1" applyBorder="1" applyAlignment="1" applyProtection="1">
      <alignment horizontal="center"/>
    </xf>
    <xf numFmtId="0" fontId="0" fillId="0" borderId="7" xfId="0" applyFont="1" applyBorder="1" applyAlignment="1" applyProtection="1">
      <alignment horizontal="center"/>
    </xf>
    <xf numFmtId="0" fontId="0" fillId="0" borderId="1" xfId="0" applyFont="1" applyBorder="1" applyAlignment="1" applyProtection="1">
      <alignment horizontal="center"/>
    </xf>
    <xf numFmtId="0" fontId="0" fillId="0" borderId="4" xfId="0" applyFont="1" applyBorder="1" applyAlignment="1" applyProtection="1">
      <alignment horizontal="center"/>
    </xf>
    <xf numFmtId="0" fontId="63" fillId="0" borderId="10" xfId="0" applyFont="1" applyBorder="1" applyAlignment="1" applyProtection="1"/>
    <xf numFmtId="0" fontId="63" fillId="0" borderId="6" xfId="0" applyFont="1" applyBorder="1" applyAlignment="1" applyProtection="1"/>
    <xf numFmtId="0" fontId="0" fillId="0" borderId="1" xfId="0" applyFont="1" applyBorder="1" applyAlignment="1" applyProtection="1"/>
    <xf numFmtId="0" fontId="63" fillId="8" borderId="50" xfId="0" applyFont="1" applyFill="1" applyBorder="1" applyAlignment="1" applyProtection="1">
      <alignment horizontal="left"/>
      <protection locked="0"/>
    </xf>
    <xf numFmtId="0" fontId="63" fillId="15" borderId="1" xfId="0" applyFont="1" applyFill="1" applyBorder="1" applyAlignment="1" applyProtection="1"/>
    <xf numFmtId="0" fontId="0" fillId="15" borderId="9" xfId="0" applyFill="1" applyBorder="1" applyAlignment="1" applyProtection="1"/>
    <xf numFmtId="0" fontId="0" fillId="0" borderId="9" xfId="0" applyFont="1" applyBorder="1" applyAlignment="1" applyProtection="1"/>
    <xf numFmtId="0" fontId="0" fillId="0" borderId="29" xfId="0" applyFont="1" applyBorder="1" applyProtection="1"/>
    <xf numFmtId="0" fontId="0" fillId="7" borderId="1" xfId="0" applyFont="1" applyFill="1" applyBorder="1" applyAlignment="1" applyProtection="1">
      <alignment horizontal="center"/>
      <protection locked="0"/>
    </xf>
    <xf numFmtId="0" fontId="0" fillId="0" borderId="2" xfId="0" applyFont="1" applyBorder="1" applyAlignment="1" applyProtection="1">
      <alignment horizontal="center"/>
    </xf>
    <xf numFmtId="0" fontId="63" fillId="7" borderId="1" xfId="0" applyFont="1" applyFill="1" applyBorder="1" applyAlignment="1" applyProtection="1">
      <alignment horizontal="center"/>
      <protection locked="0"/>
    </xf>
    <xf numFmtId="0" fontId="0" fillId="0" borderId="14" xfId="0" applyFont="1" applyBorder="1" applyProtection="1"/>
    <xf numFmtId="0" fontId="62" fillId="0" borderId="1" xfId="0" applyFont="1" applyBorder="1" applyAlignment="1" applyProtection="1"/>
    <xf numFmtId="0" fontId="0" fillId="7" borderId="12" xfId="0" applyFont="1" applyFill="1" applyBorder="1" applyAlignment="1" applyProtection="1">
      <protection locked="0"/>
    </xf>
    <xf numFmtId="0" fontId="0" fillId="0" borderId="1" xfId="0" applyNumberFormat="1" applyFont="1" applyBorder="1" applyAlignment="1" applyProtection="1"/>
    <xf numFmtId="0" fontId="63" fillId="8" borderId="15" xfId="0" applyFont="1" applyFill="1" applyBorder="1" applyAlignment="1" applyProtection="1">
      <alignment horizontal="left"/>
      <protection locked="0"/>
    </xf>
    <xf numFmtId="0" fontId="0" fillId="7" borderId="9" xfId="0" applyFont="1" applyFill="1" applyBorder="1" applyAlignment="1" applyProtection="1">
      <protection locked="0"/>
    </xf>
    <xf numFmtId="0" fontId="0" fillId="7" borderId="10" xfId="0" applyFont="1" applyFill="1" applyBorder="1" applyAlignment="1" applyProtection="1">
      <protection locked="0"/>
    </xf>
    <xf numFmtId="0" fontId="0" fillId="0" borderId="0" xfId="0" applyFill="1" applyAlignment="1">
      <alignment horizontal="center"/>
    </xf>
    <xf numFmtId="0" fontId="203" fillId="0" borderId="0" xfId="0" applyFont="1" applyFill="1" applyBorder="1" applyAlignment="1" applyProtection="1">
      <alignment horizontal="center"/>
    </xf>
    <xf numFmtId="0" fontId="0" fillId="0" borderId="0" xfId="0" applyFont="1" applyAlignment="1" applyProtection="1">
      <alignment horizontal="center" vertical="center"/>
    </xf>
    <xf numFmtId="0" fontId="0" fillId="0" borderId="0" xfId="0" applyFont="1" applyFill="1" applyAlignment="1" applyProtection="1">
      <alignment horizontal="center"/>
    </xf>
    <xf numFmtId="0" fontId="1" fillId="0" borderId="0" xfId="0" applyFont="1" applyAlignment="1" applyProtection="1">
      <alignment horizontal="center"/>
    </xf>
    <xf numFmtId="0" fontId="0" fillId="8" borderId="14" xfId="0" applyFont="1" applyFill="1" applyBorder="1" applyAlignment="1" applyProtection="1">
      <alignment vertical="center"/>
    </xf>
    <xf numFmtId="0" fontId="0" fillId="0" borderId="14" xfId="0" applyFont="1" applyFill="1" applyBorder="1" applyAlignment="1" applyProtection="1">
      <alignment vertical="center"/>
    </xf>
    <xf numFmtId="0" fontId="63" fillId="0" borderId="1" xfId="0" applyNumberFormat="1" applyFont="1" applyFill="1" applyBorder="1" applyAlignment="1" applyProtection="1">
      <alignment horizontal="center" vertical="center"/>
    </xf>
    <xf numFmtId="0" fontId="63" fillId="7" borderId="4" xfId="0" applyFont="1" applyFill="1" applyBorder="1" applyAlignment="1" applyProtection="1">
      <alignment horizontal="center"/>
      <protection locked="0"/>
    </xf>
    <xf numFmtId="0" fontId="0" fillId="15" borderId="4" xfId="0" applyFill="1" applyBorder="1" applyProtection="1"/>
    <xf numFmtId="0" fontId="62" fillId="0" borderId="0" xfId="0" applyFont="1" applyBorder="1" applyAlignment="1" applyProtection="1">
      <alignment horizontal="left" vertical="top" wrapText="1"/>
    </xf>
    <xf numFmtId="0" fontId="180" fillId="7" borderId="1" xfId="0" applyFont="1" applyFill="1" applyBorder="1" applyAlignment="1" applyProtection="1">
      <alignment horizontal="center" vertical="center"/>
      <protection locked="0"/>
    </xf>
    <xf numFmtId="0" fontId="180" fillId="8" borderId="14" xfId="0" applyFont="1" applyFill="1" applyBorder="1" applyAlignment="1" applyProtection="1">
      <alignment vertical="center"/>
    </xf>
    <xf numFmtId="0" fontId="0" fillId="7" borderId="6" xfId="0" applyFill="1" applyBorder="1" applyAlignment="1" applyProtection="1">
      <alignment horizontal="center"/>
      <protection locked="0"/>
    </xf>
    <xf numFmtId="0" fontId="0" fillId="0" borderId="11" xfId="0" applyFont="1" applyBorder="1" applyAlignment="1" applyProtection="1">
      <alignment horizontal="left"/>
    </xf>
    <xf numFmtId="0" fontId="65" fillId="8" borderId="32" xfId="0" applyFont="1" applyFill="1" applyBorder="1" applyAlignment="1" applyProtection="1">
      <protection locked="0"/>
    </xf>
    <xf numFmtId="0" fontId="100" fillId="6" borderId="46" xfId="0" applyFont="1" applyFill="1" applyBorder="1" applyAlignment="1" applyProtection="1"/>
    <xf numFmtId="0" fontId="100" fillId="6" borderId="4" xfId="0" applyFont="1" applyFill="1" applyBorder="1" applyAlignment="1" applyProtection="1"/>
    <xf numFmtId="0" fontId="0" fillId="8" borderId="16" xfId="0" applyFont="1" applyFill="1" applyBorder="1" applyAlignment="1" applyProtection="1">
      <alignment horizontal="center"/>
    </xf>
    <xf numFmtId="0" fontId="0" fillId="8" borderId="29" xfId="0" applyFont="1" applyFill="1" applyBorder="1" applyAlignment="1" applyProtection="1">
      <alignment horizontal="center"/>
    </xf>
    <xf numFmtId="0" fontId="75" fillId="0" borderId="0" xfId="0" applyFont="1" applyBorder="1" applyAlignment="1" applyProtection="1"/>
    <xf numFmtId="0" fontId="188" fillId="0" borderId="0" xfId="0" applyFont="1" applyFill="1" applyBorder="1" applyAlignment="1" applyProtection="1"/>
    <xf numFmtId="0" fontId="82" fillId="0" borderId="34" xfId="0" applyFont="1" applyBorder="1" applyAlignment="1" applyProtection="1"/>
    <xf numFmtId="0" fontId="0" fillId="7" borderId="3" xfId="0" applyFont="1" applyFill="1" applyBorder="1" applyAlignment="1" applyProtection="1">
      <alignment horizontal="center" vertical="center"/>
      <protection locked="0"/>
    </xf>
    <xf numFmtId="0" fontId="0" fillId="8" borderId="14" xfId="0" applyFont="1" applyFill="1" applyBorder="1" applyAlignment="1" applyProtection="1">
      <alignment horizontal="center" vertical="center"/>
    </xf>
    <xf numFmtId="0" fontId="0" fillId="8" borderId="16" xfId="0" applyFont="1" applyFill="1" applyBorder="1" applyAlignment="1" applyProtection="1">
      <alignment horizontal="center" vertical="center"/>
    </xf>
    <xf numFmtId="0" fontId="204" fillId="0" borderId="4" xfId="0" applyFont="1" applyBorder="1" applyAlignment="1" applyProtection="1">
      <alignment horizontal="center"/>
    </xf>
    <xf numFmtId="0" fontId="204" fillId="0" borderId="3" xfId="0" applyFont="1" applyBorder="1" applyAlignment="1" applyProtection="1">
      <alignment horizontal="center"/>
    </xf>
    <xf numFmtId="0" fontId="75" fillId="0" borderId="0" xfId="0" applyFont="1" applyBorder="1" applyAlignment="1" applyProtection="1">
      <alignment wrapText="1"/>
    </xf>
    <xf numFmtId="0" fontId="78" fillId="8" borderId="32" xfId="0" applyFont="1" applyFill="1" applyBorder="1" applyAlignment="1" applyProtection="1">
      <protection locked="0"/>
    </xf>
    <xf numFmtId="0" fontId="59" fillId="18" borderId="0" xfId="0" applyFont="1" applyFill="1" applyAlignment="1" applyProtection="1">
      <alignment horizontal="center"/>
    </xf>
    <xf numFmtId="0" fontId="59" fillId="18" borderId="0" xfId="0" applyFont="1" applyFill="1" applyAlignment="1" applyProtection="1">
      <alignment horizontal="center" vertical="center"/>
    </xf>
    <xf numFmtId="0" fontId="99" fillId="0" borderId="0" xfId="0" applyFont="1" applyFill="1" applyBorder="1" applyAlignment="1" applyProtection="1">
      <alignment horizontal="center"/>
    </xf>
    <xf numFmtId="0" fontId="63" fillId="8" borderId="1" xfId="0" applyFont="1" applyFill="1" applyBorder="1" applyAlignment="1" applyProtection="1">
      <alignment horizontal="left"/>
      <protection locked="0"/>
    </xf>
    <xf numFmtId="0" fontId="62" fillId="0" borderId="2" xfId="0" applyFont="1" applyBorder="1" applyAlignment="1" applyProtection="1">
      <alignment horizontal="center"/>
    </xf>
    <xf numFmtId="0" fontId="62" fillId="0" borderId="4" xfId="0" applyFont="1" applyBorder="1" applyAlignment="1" applyProtection="1">
      <alignment horizontal="center"/>
    </xf>
    <xf numFmtId="0" fontId="62" fillId="0" borderId="3" xfId="0" applyFont="1" applyBorder="1" applyAlignment="1" applyProtection="1">
      <alignment horizontal="center"/>
    </xf>
    <xf numFmtId="0" fontId="102" fillId="0" borderId="0" xfId="0" applyFont="1" applyFill="1" applyBorder="1" applyAlignment="1" applyProtection="1"/>
    <xf numFmtId="0" fontId="0" fillId="12" borderId="1" xfId="0" applyNumberFormat="1" applyFont="1" applyFill="1" applyBorder="1" applyAlignment="1" applyProtection="1">
      <alignment horizontal="center"/>
    </xf>
    <xf numFmtId="0" fontId="0" fillId="12" borderId="1" xfId="0" applyFont="1" applyFill="1" applyBorder="1" applyAlignment="1" applyProtection="1">
      <alignment horizontal="center" vertical="center"/>
    </xf>
    <xf numFmtId="0" fontId="180" fillId="12" borderId="1" xfId="0" applyNumberFormat="1" applyFont="1" applyFill="1" applyBorder="1" applyAlignment="1" applyProtection="1">
      <alignment horizontal="center"/>
    </xf>
    <xf numFmtId="0" fontId="199" fillId="12" borderId="0" xfId="0" applyFont="1" applyFill="1" applyAlignment="1" applyProtection="1">
      <alignment horizontal="left" indent="8"/>
    </xf>
    <xf numFmtId="0" fontId="0" fillId="12" borderId="0" xfId="0" applyFont="1" applyFill="1" applyProtection="1"/>
    <xf numFmtId="0" fontId="113" fillId="0" borderId="0" xfId="0" applyFont="1" applyAlignment="1" applyProtection="1"/>
    <xf numFmtId="0" fontId="113" fillId="0" borderId="0" xfId="0" applyFont="1" applyAlignment="1" applyProtection="1">
      <alignment horizontal="left" vertical="center"/>
    </xf>
    <xf numFmtId="0" fontId="98" fillId="0" borderId="0" xfId="0" applyFont="1" applyBorder="1" applyAlignment="1" applyProtection="1">
      <alignment horizontal="left"/>
    </xf>
    <xf numFmtId="0" fontId="59" fillId="0" borderId="0" xfId="0" applyFont="1" applyFill="1" applyBorder="1" applyAlignment="1" applyProtection="1">
      <alignment horizontal="left"/>
    </xf>
    <xf numFmtId="0" fontId="113" fillId="0" borderId="0" xfId="0" applyFont="1" applyFill="1" applyAlignment="1" applyProtection="1"/>
    <xf numFmtId="0" fontId="59" fillId="0" borderId="0" xfId="0" applyNumberFormat="1" applyFont="1" applyBorder="1" applyAlignment="1" applyProtection="1"/>
    <xf numFmtId="0" fontId="0" fillId="0" borderId="30" xfId="0" applyNumberFormat="1" applyFont="1" applyBorder="1" applyAlignment="1" applyProtection="1">
      <alignment horizontal="center"/>
    </xf>
    <xf numFmtId="49" fontId="112" fillId="0" borderId="0" xfId="0" applyNumberFormat="1" applyFont="1" applyFill="1" applyBorder="1" applyAlignment="1" applyProtection="1">
      <alignment horizontal="left" indent="1"/>
      <protection locked="0"/>
    </xf>
    <xf numFmtId="0" fontId="112" fillId="0" borderId="0" xfId="0" applyNumberFormat="1" applyFont="1" applyFill="1" applyBorder="1" applyAlignment="1" applyProtection="1">
      <alignment wrapText="1"/>
    </xf>
    <xf numFmtId="166" fontId="112" fillId="0" borderId="0" xfId="0" applyNumberFormat="1" applyFont="1" applyFill="1" applyBorder="1" applyAlignment="1" applyProtection="1">
      <alignment horizontal="left" indent="1"/>
      <protection locked="0"/>
    </xf>
    <xf numFmtId="0" fontId="112" fillId="0" borderId="0" xfId="0" applyFont="1" applyFill="1" applyBorder="1" applyProtection="1"/>
    <xf numFmtId="0" fontId="62" fillId="0" borderId="0" xfId="0" applyFont="1" applyAlignment="1">
      <alignment horizontal="center"/>
    </xf>
    <xf numFmtId="0" fontId="62" fillId="20" borderId="0" xfId="0" applyFont="1" applyFill="1" applyAlignment="1">
      <alignment horizontal="center"/>
    </xf>
    <xf numFmtId="0" fontId="62" fillId="0" borderId="0" xfId="0" applyFont="1" applyFill="1" applyAlignment="1">
      <alignment horizontal="center"/>
    </xf>
    <xf numFmtId="0" fontId="63" fillId="8" borderId="15" xfId="0" applyFont="1" applyFill="1" applyBorder="1" applyAlignment="1" applyProtection="1">
      <alignment horizontal="left"/>
      <protection locked="0"/>
    </xf>
    <xf numFmtId="0" fontId="59" fillId="6" borderId="0" xfId="0" applyFont="1" applyFill="1" applyAlignment="1">
      <alignment horizontal="center"/>
    </xf>
    <xf numFmtId="0" fontId="63" fillId="24" borderId="0" xfId="0" applyFont="1" applyFill="1" applyBorder="1" applyAlignment="1" applyProtection="1"/>
    <xf numFmtId="0" fontId="0" fillId="24" borderId="0" xfId="0" applyFill="1" applyBorder="1" applyProtection="1"/>
    <xf numFmtId="0" fontId="0" fillId="24" borderId="20" xfId="0" applyFill="1" applyBorder="1" applyProtection="1"/>
    <xf numFmtId="0" fontId="63" fillId="24" borderId="22" xfId="0" applyFont="1" applyFill="1" applyBorder="1" applyAlignment="1" applyProtection="1"/>
    <xf numFmtId="0" fontId="0" fillId="24" borderId="22" xfId="0" applyFill="1" applyBorder="1" applyProtection="1"/>
    <xf numFmtId="0" fontId="0" fillId="24" borderId="23" xfId="0" applyFill="1" applyBorder="1" applyProtection="1"/>
    <xf numFmtId="0" fontId="63" fillId="24" borderId="0" xfId="0" applyFont="1" applyFill="1" applyBorder="1" applyAlignment="1" applyProtection="1">
      <alignment horizontal="left"/>
    </xf>
    <xf numFmtId="0" fontId="78" fillId="24" borderId="0" xfId="0" applyFont="1" applyFill="1" applyBorder="1" applyAlignment="1" applyProtection="1"/>
    <xf numFmtId="0" fontId="0" fillId="24" borderId="0" xfId="0" applyFont="1" applyFill="1" applyBorder="1" applyAlignment="1" applyProtection="1"/>
    <xf numFmtId="0" fontId="65" fillId="24" borderId="0" xfId="0" applyFont="1" applyFill="1" applyBorder="1" applyAlignment="1" applyProtection="1"/>
    <xf numFmtId="0" fontId="77" fillId="24" borderId="0" xfId="0" applyFont="1" applyFill="1" applyBorder="1" applyAlignment="1" applyProtection="1"/>
    <xf numFmtId="0" fontId="77" fillId="24" borderId="0" xfId="0" applyFont="1" applyFill="1" applyBorder="1" applyAlignment="1" applyProtection="1">
      <alignment vertical="center"/>
    </xf>
    <xf numFmtId="0" fontId="0" fillId="24" borderId="0" xfId="0" applyFill="1" applyBorder="1" applyAlignment="1" applyProtection="1"/>
    <xf numFmtId="0" fontId="0" fillId="17" borderId="0" xfId="0" applyFont="1" applyFill="1" applyBorder="1" applyAlignment="1" applyProtection="1"/>
    <xf numFmtId="0" fontId="78" fillId="17" borderId="0" xfId="0" applyFont="1" applyFill="1" applyBorder="1" applyAlignment="1" applyProtection="1"/>
    <xf numFmtId="0" fontId="0" fillId="17" borderId="20" xfId="0" applyFill="1" applyBorder="1" applyProtection="1"/>
    <xf numFmtId="0" fontId="0" fillId="17" borderId="0" xfId="0" applyFont="1" applyFill="1" applyBorder="1" applyAlignment="1" applyProtection="1">
      <alignment horizontal="left"/>
    </xf>
    <xf numFmtId="0" fontId="0" fillId="24" borderId="0" xfId="0" applyFont="1" applyFill="1" applyBorder="1" applyAlignment="1" applyProtection="1">
      <alignment horizontal="left"/>
    </xf>
    <xf numFmtId="0" fontId="62" fillId="24" borderId="0" xfId="0" applyFont="1" applyFill="1" applyBorder="1" applyAlignment="1" applyProtection="1"/>
    <xf numFmtId="0" fontId="78" fillId="17" borderId="20" xfId="0" applyFont="1" applyFill="1" applyBorder="1" applyAlignment="1" applyProtection="1"/>
    <xf numFmtId="0" fontId="0" fillId="24" borderId="20" xfId="0" applyFont="1" applyFill="1" applyBorder="1" applyAlignment="1" applyProtection="1"/>
    <xf numFmtId="0" fontId="0" fillId="17" borderId="20" xfId="0" applyFont="1" applyFill="1" applyBorder="1" applyAlignment="1" applyProtection="1"/>
    <xf numFmtId="0" fontId="63" fillId="24" borderId="20" xfId="0" applyFont="1" applyFill="1" applyBorder="1" applyAlignment="1" applyProtection="1"/>
    <xf numFmtId="0" fontId="0" fillId="24" borderId="20" xfId="0" applyFill="1" applyBorder="1" applyAlignment="1" applyProtection="1"/>
    <xf numFmtId="0" fontId="77" fillId="24" borderId="20" xfId="0" applyFont="1" applyFill="1" applyBorder="1" applyAlignment="1" applyProtection="1"/>
    <xf numFmtId="0" fontId="0" fillId="17" borderId="0" xfId="0" applyFill="1" applyBorder="1" applyAlignment="1" applyProtection="1"/>
    <xf numFmtId="0" fontId="0" fillId="17" borderId="20" xfId="0" applyFill="1" applyBorder="1" applyAlignment="1" applyProtection="1"/>
    <xf numFmtId="0" fontId="62" fillId="17" borderId="0" xfId="0" applyFont="1" applyFill="1" applyBorder="1" applyAlignment="1" applyProtection="1"/>
    <xf numFmtId="0" fontId="100" fillId="17" borderId="0" xfId="0" applyFont="1" applyFill="1" applyBorder="1" applyAlignment="1" applyProtection="1"/>
    <xf numFmtId="0" fontId="63" fillId="17" borderId="0" xfId="0" applyFont="1" applyFill="1" applyBorder="1" applyAlignment="1" applyProtection="1"/>
    <xf numFmtId="0" fontId="63" fillId="17" borderId="20" xfId="0" applyFont="1" applyFill="1" applyBorder="1" applyAlignment="1" applyProtection="1"/>
    <xf numFmtId="0" fontId="63" fillId="17" borderId="0" xfId="0" applyFont="1" applyFill="1" applyBorder="1" applyAlignment="1" applyProtection="1">
      <alignment horizontal="left"/>
    </xf>
    <xf numFmtId="0" fontId="63" fillId="8" borderId="15" xfId="0" applyFont="1" applyFill="1" applyBorder="1" applyAlignment="1" applyProtection="1">
      <alignment horizontal="left"/>
      <protection locked="0"/>
    </xf>
    <xf numFmtId="0" fontId="63" fillId="24" borderId="12" xfId="0" applyFont="1" applyFill="1" applyBorder="1" applyAlignment="1" applyProtection="1"/>
    <xf numFmtId="0" fontId="63" fillId="24" borderId="1" xfId="0" applyFont="1" applyFill="1" applyBorder="1" applyAlignment="1" applyProtection="1">
      <alignment horizontal="left"/>
    </xf>
    <xf numFmtId="0" fontId="0" fillId="24" borderId="1" xfId="0" applyFont="1" applyFill="1" applyBorder="1" applyAlignment="1" applyProtection="1"/>
    <xf numFmtId="0" fontId="77" fillId="24" borderId="1" xfId="0" applyFont="1" applyFill="1" applyBorder="1" applyAlignment="1" applyProtection="1">
      <alignment horizontal="left" vertical="center"/>
    </xf>
    <xf numFmtId="0" fontId="0" fillId="17" borderId="1" xfId="0" applyFont="1" applyFill="1" applyBorder="1" applyAlignment="1" applyProtection="1">
      <alignment horizontal="left"/>
    </xf>
    <xf numFmtId="0" fontId="0" fillId="24" borderId="1" xfId="0" applyFont="1" applyFill="1" applyBorder="1" applyAlignment="1" applyProtection="1">
      <alignment horizontal="left"/>
    </xf>
    <xf numFmtId="0" fontId="180" fillId="24" borderId="1" xfId="0" applyFont="1" applyFill="1" applyBorder="1" applyAlignment="1" applyProtection="1"/>
    <xf numFmtId="0" fontId="0" fillId="17" borderId="1" xfId="0" applyFont="1" applyFill="1" applyBorder="1" applyAlignment="1" applyProtection="1"/>
    <xf numFmtId="0" fontId="63" fillId="17" borderId="1" xfId="0" applyFont="1" applyFill="1" applyBorder="1" applyAlignment="1" applyProtection="1"/>
    <xf numFmtId="0" fontId="63" fillId="24" borderId="0" xfId="0" applyFont="1" applyFill="1" applyBorder="1" applyAlignment="1" applyProtection="1">
      <alignment horizontal="left"/>
    </xf>
    <xf numFmtId="0" fontId="0" fillId="8" borderId="15" xfId="0" applyFill="1" applyBorder="1" applyProtection="1">
      <protection locked="0"/>
    </xf>
    <xf numFmtId="0" fontId="135" fillId="8" borderId="15" xfId="0" applyFont="1" applyFill="1" applyBorder="1" applyProtection="1">
      <protection locked="0"/>
    </xf>
    <xf numFmtId="0" fontId="90" fillId="0" borderId="0" xfId="0" applyFont="1" applyAlignment="1" applyProtection="1">
      <alignment horizontal="center"/>
    </xf>
    <xf numFmtId="0" fontId="90" fillId="0" borderId="0" xfId="0" applyFont="1" applyAlignment="1" applyProtection="1">
      <alignment horizontal="center"/>
    </xf>
    <xf numFmtId="0" fontId="40" fillId="0" borderId="0" xfId="5" applyNumberFormat="1" applyFont="1" applyFill="1" applyBorder="1" applyAlignment="1" applyProtection="1">
      <alignment horizontal="left" wrapText="1"/>
    </xf>
    <xf numFmtId="0" fontId="0" fillId="0" borderId="0" xfId="0" applyAlignment="1">
      <alignment horizontal="left" wrapText="1"/>
    </xf>
    <xf numFmtId="0" fontId="40" fillId="0" borderId="0" xfId="0" applyFont="1" applyAlignment="1" applyProtection="1">
      <alignment horizontal="left" vertical="center" wrapText="1"/>
    </xf>
    <xf numFmtId="0" fontId="93" fillId="0" borderId="0" xfId="0" applyFont="1" applyAlignment="1" applyProtection="1">
      <alignment horizontal="left" vertical="center" wrapText="1"/>
    </xf>
    <xf numFmtId="0" fontId="140" fillId="0" borderId="0" xfId="0" applyFont="1" applyAlignment="1" applyProtection="1">
      <alignment horizontal="left" vertical="center" wrapText="1"/>
    </xf>
    <xf numFmtId="0" fontId="90" fillId="0" borderId="0" xfId="0" applyNumberFormat="1" applyFont="1" applyBorder="1" applyAlignment="1" applyProtection="1">
      <alignment horizontal="left" vertical="top" wrapText="1"/>
    </xf>
    <xf numFmtId="49" fontId="96" fillId="15" borderId="7" xfId="0" applyNumberFormat="1" applyFont="1" applyFill="1" applyBorder="1" applyAlignment="1" applyProtection="1">
      <alignment horizontal="left"/>
      <protection locked="0"/>
    </xf>
    <xf numFmtId="49" fontId="0" fillId="15" borderId="7" xfId="0" applyNumberFormat="1" applyFill="1" applyBorder="1" applyAlignment="1" applyProtection="1">
      <alignment horizontal="left"/>
      <protection locked="0"/>
    </xf>
    <xf numFmtId="0" fontId="142" fillId="0" borderId="0" xfId="0" applyFont="1" applyAlignment="1">
      <alignment horizontal="center"/>
    </xf>
    <xf numFmtId="49" fontId="111" fillId="15" borderId="7" xfId="0" applyNumberFormat="1" applyFont="1" applyFill="1" applyBorder="1" applyAlignment="1" applyProtection="1">
      <alignment horizontal="left"/>
      <protection locked="0"/>
    </xf>
    <xf numFmtId="0" fontId="5" fillId="0" borderId="0" xfId="0" applyFont="1" applyAlignment="1">
      <alignment horizontal="center"/>
    </xf>
    <xf numFmtId="0" fontId="5" fillId="15" borderId="0" xfId="0" applyFont="1" applyFill="1" applyAlignment="1">
      <alignment horizontal="center"/>
    </xf>
    <xf numFmtId="49" fontId="0" fillId="0" borderId="7" xfId="0" applyNumberFormat="1" applyBorder="1" applyAlignment="1" applyProtection="1">
      <protection locked="0"/>
    </xf>
    <xf numFmtId="49" fontId="96" fillId="15" borderId="6" xfId="0" applyNumberFormat="1" applyFont="1" applyFill="1" applyBorder="1" applyAlignment="1" applyProtection="1">
      <alignment horizontal="left"/>
      <protection locked="0"/>
    </xf>
    <xf numFmtId="0" fontId="0" fillId="15" borderId="11" xfId="0" applyFill="1" applyBorder="1"/>
    <xf numFmtId="0" fontId="5" fillId="15" borderId="0" xfId="0" applyNumberFormat="1" applyFont="1" applyFill="1" applyAlignment="1">
      <alignment horizontal="center"/>
    </xf>
    <xf numFmtId="0" fontId="111" fillId="15" borderId="0" xfId="0" applyFont="1" applyFill="1" applyBorder="1" applyAlignment="1">
      <alignment horizontal="right"/>
    </xf>
    <xf numFmtId="0" fontId="154" fillId="0" borderId="0" xfId="0" applyFont="1" applyBorder="1" applyAlignment="1" applyProtection="1">
      <alignment horizontal="center"/>
    </xf>
    <xf numFmtId="0" fontId="57" fillId="0" borderId="0" xfId="0" applyFont="1" applyAlignment="1">
      <alignment horizontal="center"/>
    </xf>
    <xf numFmtId="49" fontId="143" fillId="15" borderId="6" xfId="2" applyNumberFormat="1" applyFont="1" applyFill="1" applyBorder="1" applyAlignment="1" applyProtection="1">
      <alignment horizontal="left"/>
      <protection locked="0"/>
    </xf>
    <xf numFmtId="0" fontId="176" fillId="0" borderId="0" xfId="0" applyFont="1" applyBorder="1" applyAlignment="1" applyProtection="1">
      <alignment horizontal="center" vertical="center"/>
    </xf>
    <xf numFmtId="0" fontId="0" fillId="0" borderId="7" xfId="0" applyBorder="1" applyAlignment="1" applyProtection="1">
      <protection locked="0"/>
    </xf>
    <xf numFmtId="0" fontId="62" fillId="0" borderId="0" xfId="0" applyFont="1" applyAlignment="1" applyProtection="1">
      <alignment horizontal="left"/>
    </xf>
    <xf numFmtId="0" fontId="79" fillId="0" borderId="0" xfId="0" applyFont="1" applyAlignment="1"/>
    <xf numFmtId="0" fontId="0" fillId="5" borderId="0" xfId="0" applyFont="1" applyFill="1" applyAlignment="1" applyProtection="1">
      <alignment horizontal="center"/>
    </xf>
    <xf numFmtId="0" fontId="0" fillId="0" borderId="0" xfId="0" applyFont="1" applyAlignment="1" applyProtection="1">
      <alignment horizontal="right"/>
    </xf>
    <xf numFmtId="0" fontId="77" fillId="0" borderId="0" xfId="0" applyFont="1" applyBorder="1" applyAlignment="1" applyProtection="1">
      <alignment horizontal="left" wrapText="1"/>
    </xf>
    <xf numFmtId="0" fontId="71" fillId="0" borderId="0" xfId="0" applyFont="1" applyFill="1" applyBorder="1" applyAlignment="1" applyProtection="1"/>
    <xf numFmtId="0" fontId="68" fillId="0" borderId="0" xfId="0" applyFont="1" applyAlignment="1" applyProtection="1">
      <alignment horizontal="left"/>
    </xf>
    <xf numFmtId="0" fontId="0" fillId="0" borderId="0" xfId="0" applyFont="1" applyAlignment="1" applyProtection="1">
      <alignment horizontal="left"/>
    </xf>
    <xf numFmtId="0" fontId="77" fillId="0" borderId="0" xfId="0" applyFont="1" applyAlignment="1" applyProtection="1">
      <alignment horizontal="left"/>
    </xf>
    <xf numFmtId="0" fontId="60" fillId="13" borderId="0" xfId="0" applyFont="1" applyFill="1" applyAlignment="1">
      <alignment horizontal="center"/>
    </xf>
    <xf numFmtId="0" fontId="0" fillId="0" borderId="0" xfId="0" applyFont="1" applyBorder="1" applyAlignment="1" applyProtection="1">
      <alignment horizontal="center"/>
    </xf>
    <xf numFmtId="0" fontId="71" fillId="0" borderId="0" xfId="0" applyFont="1" applyFill="1" applyBorder="1" applyAlignment="1"/>
    <xf numFmtId="0" fontId="77" fillId="0" borderId="0" xfId="0" applyFont="1" applyAlignment="1" applyProtection="1">
      <alignment horizontal="left" vertical="center"/>
    </xf>
    <xf numFmtId="0" fontId="0" fillId="0" borderId="0" xfId="0" applyFont="1" applyAlignment="1" applyProtection="1">
      <alignment horizontal="center"/>
    </xf>
    <xf numFmtId="0" fontId="0" fillId="0" borderId="0" xfId="0" applyFont="1" applyBorder="1" applyAlignment="1" applyProtection="1">
      <alignment horizontal="right"/>
    </xf>
    <xf numFmtId="0" fontId="0" fillId="0" borderId="5" xfId="0" applyNumberFormat="1" applyFont="1" applyBorder="1" applyAlignment="1" applyProtection="1">
      <alignment horizontal="left"/>
    </xf>
    <xf numFmtId="0" fontId="0" fillId="0" borderId="0" xfId="0" applyNumberFormat="1" applyFont="1" applyBorder="1" applyAlignment="1" applyProtection="1">
      <alignment horizontal="left"/>
    </xf>
    <xf numFmtId="0" fontId="68" fillId="0" borderId="0" xfId="0" applyFont="1" applyAlignment="1">
      <alignment horizontal="left"/>
    </xf>
    <xf numFmtId="0" fontId="146" fillId="13" borderId="0" xfId="0" applyFont="1" applyFill="1" applyAlignment="1">
      <alignment horizontal="center"/>
    </xf>
    <xf numFmtId="0" fontId="146" fillId="13" borderId="26" xfId="0" applyFont="1" applyFill="1" applyBorder="1" applyAlignment="1">
      <alignment horizontal="center"/>
    </xf>
    <xf numFmtId="0" fontId="0" fillId="0" borderId="0" xfId="0" applyAlignment="1" applyProtection="1">
      <alignment horizontal="left"/>
    </xf>
    <xf numFmtId="49" fontId="0" fillId="0" borderId="6" xfId="0" applyNumberFormat="1" applyFont="1" applyFill="1" applyBorder="1" applyAlignment="1" applyProtection="1">
      <alignment horizontal="center"/>
    </xf>
    <xf numFmtId="49" fontId="0" fillId="0" borderId="6" xfId="0" applyNumberFormat="1" applyFont="1" applyBorder="1" applyAlignment="1" applyProtection="1">
      <alignment horizontal="center"/>
    </xf>
    <xf numFmtId="49" fontId="0" fillId="0" borderId="7" xfId="0" applyNumberFormat="1" applyFont="1" applyBorder="1" applyAlignment="1" applyProtection="1">
      <alignment horizontal="center"/>
    </xf>
    <xf numFmtId="0" fontId="65" fillId="0" borderId="0" xfId="0" applyFont="1" applyAlignment="1" applyProtection="1">
      <alignment horizontal="left"/>
    </xf>
    <xf numFmtId="49" fontId="145" fillId="0" borderId="0" xfId="0" applyNumberFormat="1" applyFont="1" applyAlignment="1" applyProtection="1">
      <alignment horizontal="center"/>
    </xf>
    <xf numFmtId="49" fontId="0" fillId="0" borderId="7" xfId="0" applyNumberFormat="1" applyFont="1" applyFill="1" applyBorder="1" applyAlignment="1" applyProtection="1">
      <alignment horizontal="center"/>
    </xf>
    <xf numFmtId="0" fontId="0" fillId="0" borderId="0" xfId="0" applyAlignment="1">
      <alignment horizontal="center"/>
    </xf>
    <xf numFmtId="49" fontId="79" fillId="0" borderId="6" xfId="0" applyNumberFormat="1" applyFont="1" applyFill="1" applyBorder="1" applyAlignment="1" applyProtection="1">
      <alignment horizontal="center"/>
    </xf>
    <xf numFmtId="0" fontId="0" fillId="0" borderId="0" xfId="0" applyFont="1" applyFill="1" applyBorder="1" applyAlignment="1">
      <alignment horizontal="left"/>
    </xf>
    <xf numFmtId="0" fontId="0" fillId="0" borderId="0" xfId="0" applyFont="1" applyFill="1" applyBorder="1" applyAlignment="1">
      <alignment horizontal="center"/>
    </xf>
    <xf numFmtId="0" fontId="71" fillId="0" borderId="0" xfId="0" applyFont="1" applyBorder="1" applyAlignment="1">
      <alignment horizontal="left"/>
    </xf>
    <xf numFmtId="0" fontId="0" fillId="0" borderId="0" xfId="0" applyFont="1" applyAlignment="1">
      <alignment horizontal="right"/>
    </xf>
    <xf numFmtId="0" fontId="63" fillId="0" borderId="0" xfId="0" applyFont="1" applyFill="1" applyAlignment="1" applyProtection="1">
      <alignment horizontal="left"/>
    </xf>
    <xf numFmtId="0" fontId="77" fillId="0" borderId="0" xfId="0" applyFont="1" applyFill="1" applyAlignment="1" applyProtection="1">
      <alignment horizontal="left"/>
    </xf>
    <xf numFmtId="0" fontId="78" fillId="0" borderId="0" xfId="0" applyFont="1" applyAlignment="1" applyProtection="1">
      <alignment horizontal="right"/>
    </xf>
    <xf numFmtId="0" fontId="78" fillId="0" borderId="0" xfId="0" applyFont="1" applyAlignment="1">
      <alignment horizontal="right"/>
    </xf>
    <xf numFmtId="0" fontId="0" fillId="3" borderId="7" xfId="0" applyFont="1" applyFill="1" applyBorder="1" applyAlignment="1" applyProtection="1">
      <alignment horizontal="center"/>
    </xf>
    <xf numFmtId="0" fontId="63" fillId="0" borderId="5" xfId="0" applyFont="1" applyBorder="1" applyAlignment="1">
      <alignment horizontal="left"/>
    </xf>
    <xf numFmtId="0" fontId="63" fillId="0" borderId="0" xfId="0" applyFont="1" applyBorder="1" applyAlignment="1">
      <alignment horizontal="left"/>
    </xf>
    <xf numFmtId="0" fontId="71" fillId="0" borderId="0" xfId="0" applyFont="1" applyBorder="1" applyAlignment="1">
      <alignment horizontal="left" wrapText="1"/>
    </xf>
    <xf numFmtId="0" fontId="71" fillId="0" borderId="9" xfId="0" applyFont="1" applyFill="1" applyBorder="1" applyAlignment="1" applyProtection="1">
      <alignment horizontal="center"/>
    </xf>
    <xf numFmtId="0" fontId="71" fillId="0" borderId="10" xfId="0" applyFont="1" applyFill="1" applyBorder="1" applyAlignment="1" applyProtection="1">
      <alignment horizontal="center"/>
    </xf>
    <xf numFmtId="0" fontId="71" fillId="0" borderId="0" xfId="0" applyFont="1" applyBorder="1" applyAlignment="1">
      <alignment horizontal="left" vertical="center" wrapText="1"/>
    </xf>
    <xf numFmtId="0" fontId="70" fillId="0" borderId="0" xfId="0" applyFont="1" applyFill="1" applyBorder="1" applyAlignment="1" applyProtection="1">
      <alignment horizontal="left"/>
      <protection locked="0"/>
    </xf>
    <xf numFmtId="0" fontId="65" fillId="0" borderId="0" xfId="0" applyFont="1" applyFill="1" applyAlignment="1" applyProtection="1">
      <alignment horizontal="left"/>
    </xf>
    <xf numFmtId="0" fontId="78" fillId="3" borderId="11" xfId="0" applyFont="1" applyFill="1" applyBorder="1" applyAlignment="1" applyProtection="1">
      <alignment horizontal="left"/>
    </xf>
    <xf numFmtId="0" fontId="0" fillId="0" borderId="0" xfId="0" applyFont="1" applyBorder="1" applyAlignment="1">
      <alignment horizontal="right"/>
    </xf>
    <xf numFmtId="0" fontId="11" fillId="0" borderId="0" xfId="0" applyFont="1" applyAlignment="1">
      <alignment horizontal="center"/>
    </xf>
    <xf numFmtId="0" fontId="63" fillId="0" borderId="0" xfId="0" applyFont="1" applyAlignment="1"/>
    <xf numFmtId="49" fontId="0" fillId="0" borderId="0" xfId="0" applyNumberFormat="1" applyFont="1" applyAlignment="1">
      <alignment horizontal="center"/>
    </xf>
    <xf numFmtId="0" fontId="0" fillId="0" borderId="0" xfId="0" applyFont="1" applyAlignment="1">
      <alignment horizontal="center"/>
    </xf>
    <xf numFmtId="0" fontId="10" fillId="0" borderId="0" xfId="0" applyFont="1" applyAlignment="1">
      <alignment horizontal="center"/>
    </xf>
    <xf numFmtId="0" fontId="81" fillId="4" borderId="9" xfId="0" applyFont="1" applyFill="1" applyBorder="1" applyAlignment="1">
      <alignment horizontal="center"/>
    </xf>
    <xf numFmtId="0" fontId="81" fillId="4" borderId="6" xfId="0" applyFont="1" applyFill="1" applyBorder="1" applyAlignment="1">
      <alignment horizontal="center"/>
    </xf>
    <xf numFmtId="0" fontId="81" fillId="4" borderId="10" xfId="0" applyFont="1" applyFill="1" applyBorder="1" applyAlignment="1">
      <alignment horizontal="center"/>
    </xf>
    <xf numFmtId="0" fontId="90" fillId="15" borderId="7" xfId="0" applyFont="1" applyFill="1" applyBorder="1" applyAlignment="1" applyProtection="1">
      <alignment horizontal="left" indent="1"/>
      <protection locked="0"/>
    </xf>
    <xf numFmtId="0" fontId="90" fillId="15" borderId="6" xfId="0" applyFont="1" applyFill="1" applyBorder="1" applyAlignment="1" applyProtection="1">
      <alignment horizontal="left" indent="1"/>
      <protection locked="0"/>
    </xf>
    <xf numFmtId="0" fontId="154" fillId="0" borderId="17" xfId="0" applyFont="1" applyBorder="1" applyAlignment="1" applyProtection="1">
      <alignment horizontal="center"/>
    </xf>
    <xf numFmtId="0" fontId="154" fillId="0" borderId="18" xfId="0" applyFont="1" applyBorder="1" applyAlignment="1" applyProtection="1">
      <alignment horizontal="center"/>
    </xf>
    <xf numFmtId="0" fontId="154" fillId="0" borderId="19" xfId="0" applyFont="1" applyBorder="1" applyAlignment="1" applyProtection="1">
      <alignment horizontal="center"/>
    </xf>
    <xf numFmtId="0" fontId="57" fillId="0" borderId="13" xfId="0" applyFont="1" applyBorder="1" applyAlignment="1" applyProtection="1">
      <alignment horizontal="center"/>
    </xf>
    <xf numFmtId="0" fontId="57" fillId="0" borderId="0" xfId="0" applyFont="1" applyBorder="1" applyAlignment="1" applyProtection="1">
      <alignment horizontal="center"/>
    </xf>
    <xf numFmtId="0" fontId="57" fillId="0" borderId="20" xfId="0" applyFont="1" applyBorder="1" applyAlignment="1" applyProtection="1">
      <alignment horizontal="center"/>
    </xf>
    <xf numFmtId="49" fontId="18" fillId="0" borderId="13" xfId="0" applyNumberFormat="1" applyFont="1" applyBorder="1" applyAlignment="1" applyProtection="1">
      <alignment horizontal="center" readingOrder="1"/>
    </xf>
    <xf numFmtId="0" fontId="18" fillId="0" borderId="0" xfId="0" applyFont="1" applyBorder="1" applyAlignment="1" applyProtection="1">
      <alignment horizontal="center" readingOrder="1"/>
    </xf>
    <xf numFmtId="0" fontId="18" fillId="0" borderId="20" xfId="0" applyFont="1" applyBorder="1" applyAlignment="1" applyProtection="1">
      <alignment horizontal="center" readingOrder="1"/>
    </xf>
    <xf numFmtId="0" fontId="4" fillId="0" borderId="13" xfId="0" applyFont="1" applyBorder="1" applyAlignment="1" applyProtection="1">
      <alignment horizontal="center" readingOrder="1"/>
    </xf>
    <xf numFmtId="0" fontId="4" fillId="0" borderId="0" xfId="0" applyFont="1" applyBorder="1" applyAlignment="1" applyProtection="1">
      <alignment horizontal="center" readingOrder="1"/>
    </xf>
    <xf numFmtId="0" fontId="4" fillId="0" borderId="20" xfId="0" applyFont="1" applyBorder="1" applyAlignment="1" applyProtection="1">
      <alignment horizontal="center" readingOrder="1"/>
    </xf>
    <xf numFmtId="0" fontId="15" fillId="0" borderId="13" xfId="2" applyBorder="1" applyAlignment="1" applyProtection="1">
      <alignment horizontal="left" indent="4"/>
    </xf>
    <xf numFmtId="0" fontId="0" fillId="0" borderId="0" xfId="0" applyBorder="1" applyAlignment="1">
      <alignment horizontal="left" indent="4"/>
    </xf>
    <xf numFmtId="0" fontId="0" fillId="0" borderId="20" xfId="0" applyBorder="1" applyAlignment="1">
      <alignment horizontal="left" indent="4"/>
    </xf>
    <xf numFmtId="0" fontId="40" fillId="0" borderId="13" xfId="0" applyNumberFormat="1" applyFont="1" applyBorder="1" applyAlignment="1" applyProtection="1">
      <alignment horizontal="left" wrapText="1" indent="2"/>
    </xf>
    <xf numFmtId="0" fontId="40" fillId="0" borderId="0" xfId="0" applyNumberFormat="1" applyFont="1" applyBorder="1" applyAlignment="1" applyProtection="1">
      <alignment horizontal="left" wrapText="1" indent="2"/>
    </xf>
    <xf numFmtId="0" fontId="40" fillId="0" borderId="20" xfId="0" applyNumberFormat="1" applyFont="1" applyBorder="1" applyAlignment="1" applyProtection="1">
      <alignment horizontal="left" wrapText="1" indent="2"/>
    </xf>
    <xf numFmtId="0" fontId="176" fillId="0" borderId="13" xfId="0" applyFont="1" applyBorder="1" applyAlignment="1" applyProtection="1">
      <alignment horizontal="center"/>
    </xf>
    <xf numFmtId="0" fontId="176" fillId="0" borderId="0" xfId="0" applyFont="1" applyBorder="1" applyAlignment="1" applyProtection="1">
      <alignment horizontal="center"/>
    </xf>
    <xf numFmtId="0" fontId="176" fillId="0" borderId="20" xfId="0" applyFont="1" applyBorder="1" applyAlignment="1" applyProtection="1">
      <alignment horizontal="center"/>
    </xf>
    <xf numFmtId="0" fontId="103" fillId="15" borderId="7" xfId="0" applyFont="1" applyFill="1" applyBorder="1" applyAlignment="1" applyProtection="1">
      <alignment horizontal="left" indent="1"/>
      <protection locked="0"/>
    </xf>
    <xf numFmtId="0" fontId="90" fillId="0" borderId="13" xfId="0" applyFont="1" applyBorder="1" applyAlignment="1" applyProtection="1">
      <alignment horizontal="left"/>
    </xf>
    <xf numFmtId="0" fontId="0" fillId="0" borderId="0" xfId="0" applyBorder="1" applyAlignment="1" applyProtection="1">
      <alignment horizontal="left"/>
    </xf>
    <xf numFmtId="0" fontId="90" fillId="0" borderId="0" xfId="0" applyFont="1" applyFill="1" applyBorder="1" applyAlignment="1" applyProtection="1">
      <alignment horizontal="right" indent="1"/>
      <protection locked="0"/>
    </xf>
    <xf numFmtId="0" fontId="0" fillId="0" borderId="0" xfId="0" applyFill="1" applyBorder="1" applyAlignment="1" applyProtection="1">
      <alignment horizontal="right" indent="1"/>
      <protection locked="0"/>
    </xf>
    <xf numFmtId="0" fontId="103" fillId="0" borderId="7" xfId="0" applyFont="1" applyBorder="1" applyAlignment="1" applyProtection="1">
      <alignment horizontal="left" indent="1"/>
      <protection locked="0"/>
    </xf>
    <xf numFmtId="0" fontId="0" fillId="0" borderId="7" xfId="0" applyBorder="1" applyAlignment="1" applyProtection="1">
      <alignment horizontal="left" indent="1"/>
      <protection locked="0"/>
    </xf>
    <xf numFmtId="0" fontId="7" fillId="0" borderId="20" xfId="0" applyFont="1" applyBorder="1" applyAlignment="1" applyProtection="1">
      <alignment horizontal="center" vertical="center" wrapText="1"/>
    </xf>
    <xf numFmtId="0" fontId="66" fillId="0" borderId="13" xfId="0" applyFont="1" applyBorder="1" applyAlignment="1" applyProtection="1">
      <alignment horizontal="left"/>
    </xf>
    <xf numFmtId="0" fontId="66" fillId="0" borderId="0" xfId="0" applyFont="1" applyBorder="1" applyAlignment="1" applyProtection="1">
      <alignment horizontal="left"/>
    </xf>
    <xf numFmtId="0" fontId="110" fillId="0" borderId="13"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40" fillId="0" borderId="13" xfId="0" applyFont="1" applyBorder="1" applyAlignment="1" applyProtection="1"/>
    <xf numFmtId="0" fontId="0" fillId="0" borderId="0" xfId="0" applyBorder="1" applyAlignment="1" applyProtection="1"/>
    <xf numFmtId="0" fontId="0" fillId="0" borderId="6" xfId="0" applyBorder="1" applyAlignment="1" applyProtection="1">
      <alignment horizontal="left" indent="1"/>
      <protection locked="0"/>
    </xf>
    <xf numFmtId="0" fontId="63" fillId="24" borderId="0" xfId="0" applyFont="1" applyFill="1" applyBorder="1" applyAlignment="1" applyProtection="1">
      <alignment horizontal="left"/>
    </xf>
    <xf numFmtId="0" fontId="0" fillId="15" borderId="0" xfId="0" applyFont="1" applyFill="1" applyBorder="1" applyAlignment="1" applyProtection="1">
      <alignment horizontal="left"/>
    </xf>
    <xf numFmtId="0" fontId="0" fillId="15" borderId="20" xfId="0" applyFont="1" applyFill="1" applyBorder="1" applyAlignment="1" applyProtection="1">
      <alignment horizontal="left"/>
    </xf>
    <xf numFmtId="0" fontId="59" fillId="6" borderId="0" xfId="0" applyFont="1" applyFill="1" applyBorder="1" applyAlignment="1" applyProtection="1">
      <alignment horizontal="left"/>
    </xf>
    <xf numFmtId="0" fontId="99" fillId="6" borderId="0" xfId="0" applyFont="1" applyFill="1" applyBorder="1" applyAlignment="1" applyProtection="1">
      <alignment horizontal="center"/>
    </xf>
    <xf numFmtId="0" fontId="0" fillId="0" borderId="13" xfId="0" applyBorder="1" applyAlignment="1" applyProtection="1">
      <alignment horizontal="center" vertical="center"/>
    </xf>
    <xf numFmtId="0" fontId="0" fillId="0" borderId="0" xfId="0" applyBorder="1" applyAlignment="1" applyProtection="1">
      <alignment horizontal="center" vertical="center"/>
    </xf>
    <xf numFmtId="0" fontId="0" fillId="0" borderId="21" xfId="0" applyBorder="1" applyAlignment="1" applyProtection="1">
      <alignment horizontal="center" vertical="center"/>
    </xf>
    <xf numFmtId="0" fontId="0" fillId="0" borderId="22" xfId="0" applyBorder="1" applyAlignment="1" applyProtection="1">
      <alignment horizontal="center" vertical="center"/>
    </xf>
    <xf numFmtId="0" fontId="59" fillId="6" borderId="22" xfId="0" applyFont="1" applyFill="1" applyBorder="1" applyAlignment="1" applyProtection="1"/>
    <xf numFmtId="0" fontId="59" fillId="6" borderId="23" xfId="0" applyFont="1" applyFill="1" applyBorder="1" applyAlignment="1" applyProtection="1"/>
    <xf numFmtId="0" fontId="87" fillId="0" borderId="21" xfId="0" applyFont="1" applyFill="1" applyBorder="1" applyAlignment="1" applyProtection="1"/>
    <xf numFmtId="0" fontId="87" fillId="0" borderId="22" xfId="0" applyFont="1" applyFill="1" applyBorder="1" applyAlignment="1" applyProtection="1"/>
    <xf numFmtId="0" fontId="87" fillId="0" borderId="23" xfId="0" applyFont="1" applyFill="1" applyBorder="1" applyAlignment="1" applyProtection="1"/>
    <xf numFmtId="0" fontId="59" fillId="6" borderId="0" xfId="0" applyFont="1" applyFill="1" applyBorder="1" applyAlignment="1" applyProtection="1">
      <alignment horizontal="center"/>
    </xf>
    <xf numFmtId="0" fontId="59" fillId="6" borderId="20" xfId="0" applyFont="1" applyFill="1" applyBorder="1" applyAlignment="1" applyProtection="1">
      <alignment horizontal="center"/>
    </xf>
    <xf numFmtId="0" fontId="117" fillId="0" borderId="0" xfId="0" applyFont="1" applyBorder="1" applyAlignment="1">
      <alignment horizontal="left"/>
    </xf>
    <xf numFmtId="0" fontId="0" fillId="0" borderId="0" xfId="0" applyFont="1" applyFill="1" applyBorder="1" applyAlignment="1" applyProtection="1">
      <alignment horizontal="left" wrapText="1"/>
    </xf>
    <xf numFmtId="0" fontId="0" fillId="0" borderId="0" xfId="0" applyFont="1" applyFill="1" applyBorder="1" applyAlignment="1" applyProtection="1">
      <alignment horizontal="left"/>
    </xf>
    <xf numFmtId="0" fontId="0" fillId="0" borderId="20" xfId="0" applyFont="1" applyFill="1" applyBorder="1" applyAlignment="1" applyProtection="1">
      <alignment horizontal="left"/>
    </xf>
    <xf numFmtId="0" fontId="63" fillId="0" borderId="0" xfId="0" applyFont="1" applyFill="1" applyBorder="1" applyAlignment="1" applyProtection="1">
      <alignment horizontal="left"/>
    </xf>
    <xf numFmtId="0" fontId="63" fillId="0" borderId="20" xfId="0" applyFont="1" applyFill="1" applyBorder="1" applyAlignment="1" applyProtection="1">
      <alignment horizontal="left"/>
    </xf>
    <xf numFmtId="0" fontId="0" fillId="24" borderId="0" xfId="0" applyFont="1" applyFill="1" applyBorder="1" applyAlignment="1" applyProtection="1"/>
    <xf numFmtId="0" fontId="0" fillId="24" borderId="20" xfId="0" applyFont="1" applyFill="1" applyBorder="1" applyAlignment="1" applyProtection="1"/>
    <xf numFmtId="0" fontId="98" fillId="6" borderId="0" xfId="0" applyFont="1" applyFill="1" applyBorder="1" applyAlignment="1" applyProtection="1">
      <alignment horizontal="left"/>
    </xf>
    <xf numFmtId="0" fontId="63" fillId="24" borderId="0" xfId="0" applyNumberFormat="1" applyFont="1" applyFill="1" applyBorder="1" applyAlignment="1" applyProtection="1">
      <alignment horizontal="left" vertical="top" wrapText="1"/>
    </xf>
    <xf numFmtId="0" fontId="63" fillId="24" borderId="20" xfId="0" applyNumberFormat="1" applyFont="1" applyFill="1" applyBorder="1" applyAlignment="1" applyProtection="1">
      <alignment horizontal="left" vertical="top" wrapText="1"/>
    </xf>
    <xf numFmtId="0" fontId="98" fillId="6" borderId="61" xfId="0" applyFont="1" applyFill="1" applyBorder="1" applyAlignment="1" applyProtection="1"/>
    <xf numFmtId="0" fontId="98" fillId="6" borderId="62" xfId="0" applyFont="1" applyFill="1" applyBorder="1" applyAlignment="1" applyProtection="1"/>
    <xf numFmtId="0" fontId="98" fillId="6" borderId="63" xfId="0" applyFont="1" applyFill="1" applyBorder="1" applyAlignment="1" applyProtection="1"/>
    <xf numFmtId="0" fontId="98" fillId="6" borderId="64" xfId="0" applyFont="1" applyFill="1" applyBorder="1" applyAlignment="1" applyProtection="1"/>
    <xf numFmtId="0" fontId="98" fillId="6" borderId="22" xfId="0" applyFont="1" applyFill="1" applyBorder="1" applyAlignment="1" applyProtection="1"/>
    <xf numFmtId="0" fontId="98" fillId="6" borderId="23" xfId="0" applyFont="1" applyFill="1" applyBorder="1" applyAlignment="1" applyProtection="1"/>
    <xf numFmtId="0" fontId="98" fillId="6" borderId="22" xfId="0" applyNumberFormat="1" applyFont="1" applyFill="1" applyBorder="1" applyAlignment="1" applyProtection="1"/>
    <xf numFmtId="0" fontId="98" fillId="6" borderId="23" xfId="0" applyNumberFormat="1" applyFont="1" applyFill="1" applyBorder="1" applyAlignment="1" applyProtection="1"/>
    <xf numFmtId="0" fontId="62" fillId="0" borderId="0" xfId="0" applyFont="1" applyBorder="1" applyAlignment="1" applyProtection="1">
      <alignment horizontal="left"/>
    </xf>
    <xf numFmtId="0" fontId="225" fillId="0" borderId="0" xfId="0" applyFont="1" applyAlignment="1">
      <alignment horizontal="center"/>
    </xf>
    <xf numFmtId="0" fontId="224" fillId="0" borderId="0" xfId="0" applyFont="1" applyAlignment="1">
      <alignment horizontal="center"/>
    </xf>
    <xf numFmtId="0" fontId="61" fillId="0" borderId="0" xfId="0" applyFont="1" applyBorder="1" applyAlignment="1" applyProtection="1">
      <alignment horizontal="left"/>
    </xf>
    <xf numFmtId="0" fontId="0" fillId="0" borderId="25" xfId="0" applyFont="1" applyBorder="1" applyAlignment="1" applyProtection="1">
      <alignment horizontal="center"/>
    </xf>
    <xf numFmtId="0" fontId="0" fillId="0" borderId="12" xfId="0" applyFont="1" applyBorder="1" applyAlignment="1" applyProtection="1">
      <alignment horizontal="center"/>
    </xf>
    <xf numFmtId="0" fontId="63" fillId="12" borderId="1" xfId="0" applyFont="1" applyFill="1" applyBorder="1" applyAlignment="1" applyProtection="1">
      <alignment horizontal="left"/>
    </xf>
    <xf numFmtId="0" fontId="63" fillId="24" borderId="12" xfId="0" applyFont="1" applyFill="1" applyBorder="1" applyAlignment="1" applyProtection="1">
      <alignment horizontal="left"/>
    </xf>
    <xf numFmtId="0" fontId="63" fillId="0" borderId="1" xfId="0" applyFont="1" applyBorder="1" applyAlignment="1" applyProtection="1">
      <alignment horizontal="left"/>
    </xf>
    <xf numFmtId="0" fontId="100" fillId="16" borderId="37" xfId="0" applyFont="1" applyFill="1" applyBorder="1" applyAlignment="1" applyProtection="1">
      <alignment horizontal="left"/>
    </xf>
    <xf numFmtId="0" fontId="100" fillId="16" borderId="38" xfId="0" applyFont="1" applyFill="1" applyBorder="1" applyAlignment="1" applyProtection="1">
      <alignment horizontal="left"/>
    </xf>
    <xf numFmtId="0" fontId="100" fillId="16" borderId="39" xfId="0" applyFont="1" applyFill="1" applyBorder="1" applyAlignment="1" applyProtection="1">
      <alignment horizontal="left"/>
    </xf>
    <xf numFmtId="0" fontId="0" fillId="0" borderId="13" xfId="0" applyFont="1" applyBorder="1" applyAlignment="1" applyProtection="1">
      <alignment horizontal="center"/>
    </xf>
    <xf numFmtId="0" fontId="119" fillId="0" borderId="17" xfId="0" applyFont="1" applyBorder="1" applyAlignment="1" applyProtection="1">
      <alignment horizontal="center"/>
    </xf>
    <xf numFmtId="0" fontId="119" fillId="0" borderId="18" xfId="0" applyFont="1" applyBorder="1" applyAlignment="1" applyProtection="1">
      <alignment horizontal="center"/>
    </xf>
    <xf numFmtId="0" fontId="119" fillId="0" borderId="19" xfId="0" applyFont="1" applyBorder="1" applyAlignment="1" applyProtection="1">
      <alignment horizontal="center"/>
    </xf>
    <xf numFmtId="0" fontId="62" fillId="0" borderId="13" xfId="0" applyFont="1" applyBorder="1" applyAlignment="1" applyProtection="1">
      <alignment horizontal="left" wrapText="1"/>
    </xf>
    <xf numFmtId="0" fontId="62" fillId="0" borderId="0" xfId="0" applyFont="1" applyBorder="1" applyAlignment="1" applyProtection="1">
      <alignment horizontal="left" wrapText="1"/>
    </xf>
    <xf numFmtId="0" fontId="62" fillId="0" borderId="20" xfId="0" applyFont="1" applyBorder="1" applyAlignment="1" applyProtection="1">
      <alignment horizontal="left" wrapText="1"/>
    </xf>
    <xf numFmtId="0" fontId="63" fillId="12" borderId="1" xfId="0" applyFont="1" applyFill="1" applyBorder="1" applyAlignment="1" applyProtection="1">
      <alignment horizontal="left" vertical="center"/>
    </xf>
    <xf numFmtId="0" fontId="100" fillId="16" borderId="40" xfId="0" applyFont="1" applyFill="1" applyBorder="1" applyAlignment="1" applyProtection="1">
      <alignment horizontal="left"/>
    </xf>
    <xf numFmtId="0" fontId="100" fillId="16" borderId="41" xfId="0" applyFont="1" applyFill="1" applyBorder="1" applyAlignment="1" applyProtection="1">
      <alignment horizontal="left"/>
    </xf>
    <xf numFmtId="0" fontId="77" fillId="24" borderId="3" xfId="0" applyFont="1" applyFill="1" applyBorder="1" applyAlignment="1" applyProtection="1">
      <alignment horizontal="left"/>
    </xf>
    <xf numFmtId="0" fontId="0" fillId="24" borderId="1" xfId="0" applyFill="1" applyBorder="1" applyAlignment="1" applyProtection="1">
      <alignment horizontal="left"/>
    </xf>
    <xf numFmtId="0" fontId="0" fillId="24" borderId="1" xfId="0" applyFont="1" applyFill="1" applyBorder="1" applyAlignment="1" applyProtection="1">
      <alignment horizontal="left"/>
    </xf>
    <xf numFmtId="0" fontId="62" fillId="0" borderId="1" xfId="0" applyFont="1" applyFill="1" applyBorder="1" applyAlignment="1" applyProtection="1">
      <alignment horizontal="left"/>
    </xf>
    <xf numFmtId="0" fontId="63" fillId="0" borderId="1" xfId="0" applyFont="1" applyFill="1" applyBorder="1" applyAlignment="1" applyProtection="1">
      <alignment horizontal="left"/>
    </xf>
    <xf numFmtId="0" fontId="0" fillId="0" borderId="1" xfId="0" applyFont="1" applyBorder="1" applyAlignment="1" applyProtection="1">
      <alignment horizontal="left"/>
    </xf>
    <xf numFmtId="0" fontId="61" fillId="0" borderId="30" xfId="0" applyFont="1" applyBorder="1" applyAlignment="1" applyProtection="1">
      <alignment horizontal="left"/>
    </xf>
    <xf numFmtId="0" fontId="61" fillId="0" borderId="6" xfId="0" applyFont="1" applyBorder="1" applyAlignment="1" applyProtection="1">
      <alignment horizontal="left"/>
    </xf>
    <xf numFmtId="0" fontId="77" fillId="0" borderId="3" xfId="0" applyFont="1" applyBorder="1" applyAlignment="1" applyProtection="1">
      <alignment horizontal="left"/>
    </xf>
    <xf numFmtId="0" fontId="0" fillId="0" borderId="30" xfId="0" applyFont="1" applyBorder="1" applyAlignment="1" applyProtection="1">
      <alignment horizontal="center"/>
    </xf>
    <xf numFmtId="0" fontId="0" fillId="0" borderId="6" xfId="0" applyFont="1" applyBorder="1" applyAlignment="1" applyProtection="1">
      <alignment horizontal="center"/>
    </xf>
    <xf numFmtId="0" fontId="0" fillId="0" borderId="32" xfId="0" applyFont="1" applyBorder="1" applyAlignment="1" applyProtection="1">
      <alignment horizontal="center"/>
    </xf>
    <xf numFmtId="0" fontId="0" fillId="0" borderId="14" xfId="0" applyFont="1" applyBorder="1" applyAlignment="1" applyProtection="1">
      <alignment horizontal="center"/>
    </xf>
    <xf numFmtId="0" fontId="0" fillId="0" borderId="1" xfId="0" applyFont="1" applyBorder="1" applyAlignment="1" applyProtection="1">
      <alignment horizontal="center"/>
    </xf>
    <xf numFmtId="0" fontId="77" fillId="0" borderId="1" xfId="0" applyFont="1" applyBorder="1" applyAlignment="1" applyProtection="1">
      <alignment horizontal="left"/>
    </xf>
    <xf numFmtId="0" fontId="0" fillId="8" borderId="30" xfId="0" applyFont="1" applyFill="1" applyBorder="1" applyAlignment="1" applyProtection="1">
      <alignment horizontal="center"/>
    </xf>
    <xf numFmtId="0" fontId="0" fillId="8" borderId="6" xfId="0" applyFont="1" applyFill="1" applyBorder="1" applyAlignment="1" applyProtection="1">
      <alignment horizontal="center"/>
    </xf>
    <xf numFmtId="0" fontId="0" fillId="8" borderId="10" xfId="0" applyFont="1" applyFill="1" applyBorder="1" applyAlignment="1" applyProtection="1">
      <alignment horizontal="center"/>
    </xf>
    <xf numFmtId="0" fontId="0" fillId="0" borderId="43" xfId="0" applyFont="1" applyBorder="1" applyAlignment="1" applyProtection="1">
      <alignment horizontal="center"/>
    </xf>
    <xf numFmtId="0" fontId="0" fillId="0" borderId="11" xfId="0" applyFont="1" applyBorder="1" applyAlignment="1" applyProtection="1">
      <alignment horizontal="center"/>
    </xf>
    <xf numFmtId="0" fontId="0" fillId="0" borderId="27" xfId="0" applyFont="1" applyBorder="1" applyAlignment="1" applyProtection="1">
      <alignment horizontal="center"/>
    </xf>
    <xf numFmtId="0" fontId="0" fillId="0" borderId="26" xfId="0" applyFont="1" applyBorder="1" applyAlignment="1" applyProtection="1">
      <alignment horizontal="center"/>
    </xf>
    <xf numFmtId="0" fontId="0" fillId="0" borderId="29" xfId="0" applyFont="1" applyBorder="1" applyAlignment="1" applyProtection="1">
      <alignment horizontal="center"/>
    </xf>
    <xf numFmtId="0" fontId="0" fillId="0" borderId="7" xfId="0" applyFont="1" applyBorder="1" applyAlignment="1" applyProtection="1">
      <alignment horizontal="center"/>
    </xf>
    <xf numFmtId="0" fontId="0" fillId="0" borderId="8" xfId="0" applyFont="1" applyBorder="1" applyAlignment="1" applyProtection="1">
      <alignment horizontal="center"/>
    </xf>
    <xf numFmtId="0" fontId="0" fillId="17" borderId="1" xfId="0" applyFont="1" applyFill="1" applyBorder="1" applyAlignment="1" applyProtection="1">
      <alignment horizontal="left" wrapText="1"/>
    </xf>
    <xf numFmtId="0" fontId="0" fillId="17" borderId="1" xfId="0" applyFont="1" applyFill="1" applyBorder="1" applyAlignment="1" applyProtection="1">
      <alignment horizontal="left"/>
    </xf>
    <xf numFmtId="0" fontId="0" fillId="24" borderId="1" xfId="0" applyFont="1" applyFill="1" applyBorder="1" applyAlignment="1" applyProtection="1">
      <alignment horizontal="left" vertical="top" wrapText="1"/>
    </xf>
    <xf numFmtId="0" fontId="0" fillId="24" borderId="1" xfId="0" applyFont="1" applyFill="1" applyBorder="1" applyAlignment="1" applyProtection="1">
      <alignment horizontal="left" vertical="top"/>
    </xf>
    <xf numFmtId="0" fontId="119" fillId="0" borderId="40" xfId="0" applyFont="1" applyFill="1" applyBorder="1" applyAlignment="1" applyProtection="1">
      <alignment horizontal="center"/>
    </xf>
    <xf numFmtId="0" fontId="119" fillId="0" borderId="41" xfId="0" applyFont="1" applyFill="1" applyBorder="1" applyAlignment="1" applyProtection="1">
      <alignment horizontal="center"/>
    </xf>
    <xf numFmtId="0" fontId="119" fillId="0" borderId="24" xfId="0" applyFont="1" applyFill="1" applyBorder="1" applyAlignment="1" applyProtection="1">
      <alignment horizontal="center"/>
    </xf>
    <xf numFmtId="0" fontId="63" fillId="0" borderId="12" xfId="0" applyFont="1" applyBorder="1" applyAlignment="1" applyProtection="1">
      <alignment horizontal="left"/>
    </xf>
    <xf numFmtId="0" fontId="63" fillId="0" borderId="31" xfId="0" applyFont="1" applyBorder="1" applyAlignment="1" applyProtection="1">
      <alignment horizontal="left"/>
    </xf>
    <xf numFmtId="0" fontId="63" fillId="24" borderId="1" xfId="0" applyFont="1" applyFill="1" applyBorder="1" applyAlignment="1" applyProtection="1">
      <alignment horizontal="left"/>
    </xf>
    <xf numFmtId="0" fontId="100" fillId="6" borderId="72" xfId="0" applyFont="1" applyFill="1" applyBorder="1" applyAlignment="1" applyProtection="1">
      <alignment horizontal="left"/>
    </xf>
    <xf numFmtId="0" fontId="100" fillId="6" borderId="69" xfId="0" applyFont="1" applyFill="1" applyBorder="1" applyAlignment="1" applyProtection="1">
      <alignment horizontal="left"/>
    </xf>
    <xf numFmtId="0" fontId="100" fillId="6" borderId="14" xfId="0" applyFont="1" applyFill="1" applyBorder="1" applyAlignment="1" applyProtection="1">
      <alignment horizontal="left"/>
    </xf>
    <xf numFmtId="0" fontId="100" fillId="6" borderId="1" xfId="0" applyFont="1" applyFill="1" applyBorder="1" applyAlignment="1" applyProtection="1">
      <alignment horizontal="left"/>
    </xf>
    <xf numFmtId="0" fontId="0" fillId="0" borderId="9" xfId="0" applyBorder="1" applyAlignment="1" applyProtection="1">
      <alignment horizontal="left"/>
    </xf>
    <xf numFmtId="0" fontId="0" fillId="0" borderId="10" xfId="0" applyFont="1" applyBorder="1" applyAlignment="1" applyProtection="1">
      <alignment horizontal="left"/>
    </xf>
    <xf numFmtId="0" fontId="0" fillId="0" borderId="9" xfId="0" applyNumberFormat="1" applyFont="1" applyBorder="1" applyAlignment="1" applyProtection="1">
      <alignment horizontal="left"/>
    </xf>
    <xf numFmtId="0" fontId="0" fillId="0" borderId="6" xfId="0" applyNumberFormat="1" applyFont="1" applyBorder="1" applyAlignment="1" applyProtection="1">
      <alignment horizontal="left"/>
    </xf>
    <xf numFmtId="0" fontId="0" fillId="0" borderId="10" xfId="0" applyNumberFormat="1" applyFont="1" applyBorder="1" applyAlignment="1" applyProtection="1">
      <alignment horizontal="left"/>
    </xf>
    <xf numFmtId="0" fontId="0" fillId="0" borderId="10" xfId="0" applyBorder="1" applyAlignment="1" applyProtection="1">
      <alignment horizontal="left"/>
    </xf>
    <xf numFmtId="0" fontId="78" fillId="8" borderId="15" xfId="0" applyFont="1" applyFill="1" applyBorder="1" applyAlignment="1" applyProtection="1">
      <alignment horizontal="center"/>
      <protection locked="0"/>
    </xf>
    <xf numFmtId="0" fontId="78" fillId="8" borderId="31" xfId="0" applyFont="1" applyFill="1" applyBorder="1" applyAlignment="1" applyProtection="1">
      <alignment horizontal="center"/>
      <protection locked="0"/>
    </xf>
    <xf numFmtId="0" fontId="0" fillId="0" borderId="57" xfId="0" applyFont="1" applyBorder="1" applyAlignment="1" applyProtection="1">
      <alignment horizontal="center"/>
    </xf>
    <xf numFmtId="0" fontId="0" fillId="0" borderId="3" xfId="0" applyFont="1" applyBorder="1" applyAlignment="1" applyProtection="1">
      <alignment horizontal="center"/>
    </xf>
    <xf numFmtId="0" fontId="96" fillId="0" borderId="14" xfId="0" applyFont="1" applyBorder="1" applyAlignment="1" applyProtection="1">
      <alignment horizontal="center"/>
    </xf>
    <xf numFmtId="0" fontId="96" fillId="0" borderId="30" xfId="0" applyFont="1" applyBorder="1" applyAlignment="1" applyProtection="1">
      <alignment horizontal="center"/>
    </xf>
    <xf numFmtId="0" fontId="96" fillId="0" borderId="42" xfId="0" applyFont="1" applyBorder="1" applyAlignment="1" applyProtection="1">
      <alignment horizontal="center"/>
    </xf>
    <xf numFmtId="0" fontId="0" fillId="0" borderId="65" xfId="0" applyFont="1" applyBorder="1" applyAlignment="1" applyProtection="1">
      <alignment horizontal="center"/>
    </xf>
    <xf numFmtId="0" fontId="0" fillId="0" borderId="10" xfId="0" applyFont="1" applyBorder="1" applyAlignment="1" applyProtection="1">
      <alignment horizontal="center"/>
    </xf>
    <xf numFmtId="0" fontId="87" fillId="0" borderId="43" xfId="0" applyFont="1" applyBorder="1" applyAlignment="1" applyProtection="1">
      <alignment horizontal="right"/>
    </xf>
    <xf numFmtId="0" fontId="87" fillId="0" borderId="11" xfId="0" applyFont="1" applyBorder="1" applyAlignment="1" applyProtection="1">
      <alignment horizontal="right"/>
    </xf>
    <xf numFmtId="0" fontId="87" fillId="0" borderId="27" xfId="0" applyFont="1" applyBorder="1" applyAlignment="1" applyProtection="1">
      <alignment horizontal="right"/>
    </xf>
    <xf numFmtId="0" fontId="87" fillId="0" borderId="21" xfId="0" applyFont="1" applyBorder="1" applyAlignment="1" applyProtection="1">
      <alignment horizontal="right"/>
    </xf>
    <xf numFmtId="0" fontId="87" fillId="0" borderId="22" xfId="0" applyFont="1" applyBorder="1" applyAlignment="1" applyProtection="1">
      <alignment horizontal="right"/>
    </xf>
    <xf numFmtId="0" fontId="87" fillId="0" borderId="44" xfId="0" applyFont="1" applyBorder="1" applyAlignment="1" applyProtection="1">
      <alignment horizontal="right"/>
    </xf>
    <xf numFmtId="0" fontId="0" fillId="0" borderId="3" xfId="0" applyFont="1" applyBorder="1" applyAlignment="1" applyProtection="1">
      <alignment horizontal="left"/>
    </xf>
    <xf numFmtId="0" fontId="0" fillId="0" borderId="28" xfId="0" applyFont="1" applyBorder="1" applyAlignment="1" applyProtection="1">
      <alignment horizontal="left"/>
    </xf>
    <xf numFmtId="0" fontId="119" fillId="0" borderId="43" xfId="0" applyFont="1" applyFill="1" applyBorder="1" applyAlignment="1" applyProtection="1">
      <alignment horizontal="center"/>
    </xf>
    <xf numFmtId="0" fontId="119" fillId="0" borderId="11" xfId="0" applyFont="1" applyFill="1" applyBorder="1" applyAlignment="1" applyProtection="1">
      <alignment horizontal="center"/>
    </xf>
    <xf numFmtId="0" fontId="119" fillId="0" borderId="51" xfId="0" applyFont="1" applyFill="1" applyBorder="1" applyAlignment="1" applyProtection="1">
      <alignment horizontal="center"/>
    </xf>
    <xf numFmtId="0" fontId="218" fillId="0" borderId="33" xfId="0" applyFont="1" applyFill="1" applyBorder="1" applyAlignment="1" applyProtection="1">
      <alignment horizontal="left" vertical="center" wrapText="1"/>
    </xf>
    <xf numFmtId="0" fontId="138" fillId="0" borderId="11" xfId="0" applyFont="1" applyFill="1" applyBorder="1" applyAlignment="1" applyProtection="1">
      <alignment horizontal="left" vertical="center"/>
    </xf>
    <xf numFmtId="0" fontId="138" fillId="0" borderId="27" xfId="0" applyFont="1" applyFill="1" applyBorder="1" applyAlignment="1" applyProtection="1">
      <alignment horizontal="left" vertical="center"/>
    </xf>
    <xf numFmtId="0" fontId="0" fillId="0" borderId="6" xfId="0" applyFont="1" applyBorder="1" applyAlignment="1" applyProtection="1">
      <alignment horizontal="left"/>
    </xf>
    <xf numFmtId="0" fontId="100" fillId="6" borderId="87" xfId="0" applyFont="1" applyFill="1" applyBorder="1" applyAlignment="1" applyProtection="1">
      <alignment horizontal="left"/>
    </xf>
    <xf numFmtId="0" fontId="100" fillId="6" borderId="88" xfId="0" applyFont="1" applyFill="1" applyBorder="1" applyAlignment="1" applyProtection="1">
      <alignment horizontal="left"/>
    </xf>
    <xf numFmtId="0" fontId="100" fillId="6" borderId="89" xfId="0" applyFont="1" applyFill="1" applyBorder="1" applyAlignment="1" applyProtection="1">
      <alignment horizontal="left"/>
    </xf>
    <xf numFmtId="49" fontId="0" fillId="0" borderId="6" xfId="0" applyNumberFormat="1" applyFont="1" applyBorder="1" applyAlignment="1" applyProtection="1">
      <alignment horizontal="left"/>
    </xf>
    <xf numFmtId="0" fontId="0" fillId="0" borderId="1" xfId="0" applyBorder="1" applyAlignment="1" applyProtection="1">
      <alignment horizontal="left"/>
    </xf>
    <xf numFmtId="0" fontId="0" fillId="0" borderId="6" xfId="0" applyFont="1" applyBorder="1" applyAlignment="1" applyProtection="1">
      <alignment horizontal="left" wrapText="1"/>
    </xf>
    <xf numFmtId="0" fontId="0" fillId="0" borderId="90" xfId="0" applyFont="1" applyBorder="1" applyAlignment="1" applyProtection="1">
      <alignment horizontal="center"/>
    </xf>
    <xf numFmtId="0" fontId="0" fillId="0" borderId="1" xfId="0" applyBorder="1" applyAlignment="1" applyProtection="1">
      <alignment horizontal="left" wrapText="1"/>
    </xf>
    <xf numFmtId="0" fontId="0" fillId="0" borderId="9" xfId="0" applyFont="1" applyBorder="1" applyAlignment="1" applyProtection="1">
      <alignment horizontal="left"/>
    </xf>
    <xf numFmtId="0" fontId="63" fillId="15" borderId="9" xfId="0" applyFont="1" applyFill="1" applyBorder="1" applyAlignment="1" applyProtection="1"/>
    <xf numFmtId="0" fontId="63" fillId="15" borderId="10" xfId="0" applyFont="1" applyFill="1" applyBorder="1" applyAlignment="1" applyProtection="1"/>
    <xf numFmtId="0" fontId="62" fillId="15" borderId="9" xfId="0" applyFont="1" applyFill="1" applyBorder="1" applyAlignment="1" applyProtection="1">
      <alignment horizontal="left"/>
    </xf>
    <xf numFmtId="0" fontId="62" fillId="15" borderId="10" xfId="0" applyFont="1" applyFill="1" applyBorder="1" applyAlignment="1" applyProtection="1">
      <alignment horizontal="left"/>
    </xf>
    <xf numFmtId="0" fontId="77" fillId="15" borderId="9" xfId="0" applyFont="1" applyFill="1" applyBorder="1" applyAlignment="1" applyProtection="1">
      <alignment vertical="center"/>
    </xf>
    <xf numFmtId="0" fontId="77" fillId="15" borderId="10" xfId="0" applyFont="1" applyFill="1" applyBorder="1" applyAlignment="1" applyProtection="1">
      <alignment vertical="center"/>
    </xf>
    <xf numFmtId="0" fontId="63" fillId="0" borderId="9" xfId="0" applyFont="1" applyBorder="1" applyAlignment="1" applyProtection="1"/>
    <xf numFmtId="0" fontId="63" fillId="0" borderId="10" xfId="0" applyFont="1" applyBorder="1" applyAlignment="1" applyProtection="1"/>
    <xf numFmtId="0" fontId="0" fillId="0" borderId="67" xfId="0" applyFont="1" applyBorder="1" applyAlignment="1" applyProtection="1">
      <alignment horizontal="center"/>
    </xf>
    <xf numFmtId="0" fontId="0" fillId="0" borderId="68" xfId="0" applyFont="1" applyBorder="1" applyAlignment="1" applyProtection="1">
      <alignment horizontal="center"/>
    </xf>
    <xf numFmtId="0" fontId="0" fillId="0" borderId="4" xfId="0" applyFont="1" applyBorder="1" applyAlignment="1" applyProtection="1">
      <alignment horizontal="center"/>
    </xf>
    <xf numFmtId="0" fontId="63" fillId="17" borderId="9" xfId="0" applyFont="1" applyFill="1" applyBorder="1" applyAlignment="1" applyProtection="1">
      <alignment vertical="center"/>
    </xf>
    <xf numFmtId="0" fontId="63" fillId="17" borderId="10" xfId="0" applyFont="1" applyFill="1" applyBorder="1" applyAlignment="1" applyProtection="1">
      <alignment vertical="center"/>
    </xf>
    <xf numFmtId="0" fontId="62" fillId="15" borderId="9" xfId="0" applyFont="1" applyFill="1" applyBorder="1" applyAlignment="1" applyProtection="1">
      <alignment vertical="center"/>
    </xf>
    <xf numFmtId="0" fontId="62" fillId="15" borderId="10" xfId="0" applyFont="1" applyFill="1" applyBorder="1" applyAlignment="1" applyProtection="1">
      <alignment vertical="center"/>
    </xf>
    <xf numFmtId="0" fontId="71" fillId="7" borderId="14" xfId="0" applyFont="1" applyFill="1" applyBorder="1" applyAlignment="1" applyProtection="1">
      <alignment horizontal="center" vertical="center"/>
      <protection locked="0"/>
    </xf>
    <xf numFmtId="0" fontId="0" fillId="7" borderId="1" xfId="0" applyFill="1" applyBorder="1" applyAlignment="1" applyProtection="1">
      <alignment horizontal="center" vertical="center"/>
      <protection locked="0"/>
    </xf>
    <xf numFmtId="0" fontId="62" fillId="0" borderId="2" xfId="0" applyFont="1" applyBorder="1" applyAlignment="1" applyProtection="1">
      <alignment horizontal="left" vertical="center" wrapText="1"/>
    </xf>
    <xf numFmtId="0" fontId="62" fillId="0" borderId="3" xfId="0" applyFont="1" applyBorder="1" applyAlignment="1" applyProtection="1">
      <alignment horizontal="left" vertical="center" wrapText="1"/>
    </xf>
    <xf numFmtId="0" fontId="62" fillId="0" borderId="2" xfId="0" applyFont="1" applyBorder="1" applyAlignment="1" applyProtection="1">
      <alignment horizontal="left" vertical="top" wrapText="1"/>
    </xf>
    <xf numFmtId="0" fontId="62" fillId="0" borderId="4" xfId="0" applyFont="1" applyBorder="1" applyAlignment="1" applyProtection="1">
      <alignment horizontal="left" vertical="top" wrapText="1"/>
    </xf>
    <xf numFmtId="0" fontId="62" fillId="0" borderId="3" xfId="0" applyFont="1" applyBorder="1" applyAlignment="1" applyProtection="1">
      <alignment horizontal="left" vertical="top" wrapText="1"/>
    </xf>
    <xf numFmtId="0" fontId="63" fillId="24" borderId="9" xfId="0" applyFont="1" applyFill="1" applyBorder="1" applyAlignment="1" applyProtection="1">
      <alignment horizontal="left"/>
    </xf>
    <xf numFmtId="0" fontId="0" fillId="24" borderId="10" xfId="0" applyFill="1" applyBorder="1" applyAlignment="1">
      <alignment horizontal="left"/>
    </xf>
    <xf numFmtId="0" fontId="63" fillId="24" borderId="10" xfId="0" applyFont="1" applyFill="1" applyBorder="1" applyAlignment="1" applyProtection="1">
      <alignment horizontal="left"/>
    </xf>
    <xf numFmtId="0" fontId="62" fillId="15" borderId="9" xfId="0" applyFont="1" applyFill="1" applyBorder="1" applyAlignment="1" applyProtection="1">
      <alignment horizontal="left" vertical="center"/>
    </xf>
    <xf numFmtId="0" fontId="62" fillId="15" borderId="10" xfId="0" applyFont="1" applyFill="1" applyBorder="1" applyAlignment="1" applyProtection="1">
      <alignment horizontal="left" vertical="center"/>
    </xf>
    <xf numFmtId="0" fontId="61" fillId="0" borderId="30" xfId="0" applyFont="1" applyBorder="1" applyAlignment="1" applyProtection="1">
      <alignment horizontal="left" vertical="center"/>
    </xf>
    <xf numFmtId="0" fontId="61" fillId="0" borderId="6" xfId="0" applyFont="1" applyBorder="1" applyAlignment="1" applyProtection="1">
      <alignment horizontal="left" vertical="center"/>
    </xf>
    <xf numFmtId="0" fontId="61" fillId="0" borderId="10" xfId="0" applyFont="1" applyBorder="1" applyAlignment="1" applyProtection="1">
      <alignment horizontal="left" vertical="center"/>
    </xf>
    <xf numFmtId="0" fontId="0" fillId="0" borderId="30" xfId="0" applyFont="1" applyFill="1" applyBorder="1" applyAlignment="1" applyProtection="1">
      <alignment horizontal="center"/>
    </xf>
    <xf numFmtId="0" fontId="0" fillId="0" borderId="6" xfId="0" applyFont="1" applyFill="1" applyBorder="1" applyAlignment="1" applyProtection="1">
      <alignment horizontal="center"/>
    </xf>
    <xf numFmtId="0" fontId="0" fillId="0" borderId="32" xfId="0" applyFont="1" applyFill="1" applyBorder="1" applyAlignment="1" applyProtection="1">
      <alignment horizontal="center"/>
    </xf>
    <xf numFmtId="0" fontId="119" fillId="0" borderId="37" xfId="0" applyFont="1" applyFill="1" applyBorder="1" applyAlignment="1" applyProtection="1">
      <alignment horizontal="center"/>
    </xf>
    <xf numFmtId="0" fontId="119" fillId="0" borderId="38" xfId="0" applyFont="1" applyFill="1" applyBorder="1" applyAlignment="1" applyProtection="1">
      <alignment horizontal="center"/>
    </xf>
    <xf numFmtId="0" fontId="119" fillId="0" borderId="45" xfId="0" applyFont="1" applyFill="1" applyBorder="1" applyAlignment="1" applyProtection="1">
      <alignment horizontal="center"/>
    </xf>
    <xf numFmtId="0" fontId="150" fillId="15" borderId="9" xfId="0" applyFont="1" applyFill="1" applyBorder="1" applyAlignment="1" applyProtection="1">
      <alignment horizontal="left" vertical="center"/>
    </xf>
    <xf numFmtId="0" fontId="150" fillId="15" borderId="10" xfId="0" applyFont="1" applyFill="1" applyBorder="1" applyAlignment="1" applyProtection="1">
      <alignment horizontal="left" vertical="center"/>
    </xf>
    <xf numFmtId="0" fontId="63" fillId="0" borderId="9" xfId="0" applyFont="1" applyFill="1" applyBorder="1" applyAlignment="1" applyProtection="1">
      <alignment horizontal="left"/>
    </xf>
    <xf numFmtId="0" fontId="63" fillId="0" borderId="10" xfId="0" applyFont="1" applyFill="1" applyBorder="1" applyAlignment="1" applyProtection="1">
      <alignment horizontal="left"/>
    </xf>
    <xf numFmtId="0" fontId="63" fillId="0" borderId="9" xfId="0" applyFont="1" applyBorder="1" applyAlignment="1" applyProtection="1">
      <alignment horizontal="left"/>
    </xf>
    <xf numFmtId="0" fontId="63" fillId="0" borderId="10" xfId="0" applyFont="1" applyBorder="1" applyAlignment="1" applyProtection="1">
      <alignment horizontal="left"/>
    </xf>
    <xf numFmtId="0" fontId="150" fillId="24" borderId="9" xfId="0" applyFont="1" applyFill="1" applyBorder="1" applyAlignment="1" applyProtection="1">
      <alignment horizontal="left" vertical="center"/>
    </xf>
    <xf numFmtId="0" fontId="150" fillId="24" borderId="10" xfId="0" applyFont="1" applyFill="1" applyBorder="1" applyAlignment="1" applyProtection="1">
      <alignment horizontal="left" vertical="center"/>
    </xf>
    <xf numFmtId="0" fontId="100" fillId="6" borderId="2" xfId="0" applyFont="1" applyFill="1" applyBorder="1" applyAlignment="1" applyProtection="1">
      <alignment horizontal="left"/>
    </xf>
    <xf numFmtId="0" fontId="63" fillId="15" borderId="9" xfId="0" applyFont="1" applyFill="1" applyBorder="1" applyAlignment="1" applyProtection="1">
      <alignment horizontal="left"/>
    </xf>
    <xf numFmtId="0" fontId="63" fillId="15" borderId="10" xfId="0" applyFont="1" applyFill="1" applyBorder="1" applyAlignment="1" applyProtection="1">
      <alignment horizontal="left"/>
    </xf>
    <xf numFmtId="0" fontId="82" fillId="0" borderId="9" xfId="0" applyFont="1" applyBorder="1" applyAlignment="1" applyProtection="1">
      <alignment horizontal="left" vertical="center"/>
    </xf>
    <xf numFmtId="0" fontId="82" fillId="0" borderId="6" xfId="0" applyFont="1" applyBorder="1" applyAlignment="1" applyProtection="1">
      <alignment horizontal="left" vertical="center"/>
    </xf>
    <xf numFmtId="0" fontId="82" fillId="0" borderId="32" xfId="0" applyFont="1" applyBorder="1" applyAlignment="1" applyProtection="1">
      <alignment horizontal="left" vertical="center"/>
    </xf>
    <xf numFmtId="0" fontId="63" fillId="0" borderId="9" xfId="0" applyFont="1" applyBorder="1" applyAlignment="1" applyProtection="1">
      <alignment horizontal="center"/>
    </xf>
    <xf numFmtId="0" fontId="63" fillId="0" borderId="32" xfId="0" applyFont="1" applyBorder="1" applyAlignment="1" applyProtection="1">
      <alignment horizontal="center"/>
    </xf>
    <xf numFmtId="0" fontId="121" fillId="0" borderId="21" xfId="0" applyFont="1" applyBorder="1" applyAlignment="1" applyProtection="1">
      <alignment horizontal="right"/>
    </xf>
    <xf numFmtId="0" fontId="121" fillId="0" borderId="22" xfId="0" applyFont="1" applyBorder="1" applyAlignment="1" applyProtection="1">
      <alignment horizontal="right"/>
    </xf>
    <xf numFmtId="0" fontId="121" fillId="0" borderId="44" xfId="0" applyFont="1" applyBorder="1" applyAlignment="1" applyProtection="1">
      <alignment horizontal="right"/>
    </xf>
    <xf numFmtId="0" fontId="121" fillId="0" borderId="43" xfId="0" applyFont="1" applyBorder="1" applyAlignment="1" applyProtection="1">
      <alignment horizontal="right"/>
    </xf>
    <xf numFmtId="0" fontId="121" fillId="0" borderId="11" xfId="0" applyFont="1" applyBorder="1" applyAlignment="1" applyProtection="1">
      <alignment horizontal="right"/>
    </xf>
    <xf numFmtId="0" fontId="121" fillId="0" borderId="27" xfId="0" applyFont="1" applyBorder="1" applyAlignment="1" applyProtection="1">
      <alignment horizontal="right"/>
    </xf>
    <xf numFmtId="0" fontId="121" fillId="0" borderId="13" xfId="0" applyFont="1" applyBorder="1" applyAlignment="1" applyProtection="1">
      <alignment horizontal="right"/>
    </xf>
    <xf numFmtId="0" fontId="121" fillId="0" borderId="0" xfId="0" applyFont="1" applyBorder="1" applyAlignment="1" applyProtection="1">
      <alignment horizontal="right"/>
    </xf>
    <xf numFmtId="0" fontId="121" fillId="0" borderId="26" xfId="0" applyFont="1" applyBorder="1" applyAlignment="1" applyProtection="1">
      <alignment horizontal="right"/>
    </xf>
    <xf numFmtId="0" fontId="62" fillId="0" borderId="9" xfId="0" applyFont="1" applyFill="1" applyBorder="1" applyAlignment="1" applyProtection="1">
      <alignment horizontal="left"/>
    </xf>
    <xf numFmtId="0" fontId="62" fillId="0" borderId="10" xfId="0" applyFont="1" applyFill="1" applyBorder="1" applyAlignment="1" applyProtection="1">
      <alignment horizontal="left"/>
    </xf>
    <xf numFmtId="0" fontId="78" fillId="0" borderId="9" xfId="0" applyFont="1" applyFill="1" applyBorder="1" applyAlignment="1" applyProtection="1">
      <alignment horizontal="left"/>
    </xf>
    <xf numFmtId="0" fontId="78" fillId="0" borderId="10" xfId="0" applyFont="1" applyFill="1" applyBorder="1" applyAlignment="1" applyProtection="1">
      <alignment horizontal="left"/>
    </xf>
    <xf numFmtId="0" fontId="63" fillId="8" borderId="15" xfId="0" applyFont="1" applyFill="1" applyBorder="1" applyAlignment="1" applyProtection="1">
      <alignment horizontal="center"/>
      <protection locked="0"/>
    </xf>
    <xf numFmtId="0" fontId="63" fillId="8" borderId="31" xfId="0" applyFont="1" applyFill="1" applyBorder="1" applyAlignment="1" applyProtection="1">
      <alignment horizontal="center"/>
      <protection locked="0"/>
    </xf>
    <xf numFmtId="0" fontId="0" fillId="0" borderId="42" xfId="0" applyFont="1" applyBorder="1" applyAlignment="1" applyProtection="1">
      <alignment horizontal="center"/>
    </xf>
    <xf numFmtId="0" fontId="0" fillId="0" borderId="66" xfId="0" applyFont="1" applyBorder="1" applyAlignment="1" applyProtection="1">
      <alignment horizontal="center"/>
    </xf>
    <xf numFmtId="0" fontId="62" fillId="0" borderId="9" xfId="0" applyFont="1" applyFill="1" applyBorder="1" applyAlignment="1" applyProtection="1"/>
    <xf numFmtId="0" fontId="62" fillId="0" borderId="10" xfId="0" applyFont="1" applyFill="1" applyBorder="1" applyAlignment="1" applyProtection="1"/>
    <xf numFmtId="0" fontId="100" fillId="6" borderId="14" xfId="0" applyFont="1" applyFill="1" applyBorder="1" applyAlignment="1" applyProtection="1">
      <alignment horizontal="left" vertical="center"/>
    </xf>
    <xf numFmtId="0" fontId="100" fillId="6" borderId="1" xfId="0" applyFont="1" applyFill="1" applyBorder="1" applyAlignment="1" applyProtection="1">
      <alignment horizontal="left" vertical="center"/>
    </xf>
    <xf numFmtId="0" fontId="62" fillId="0" borderId="9" xfId="0" applyFont="1" applyBorder="1" applyAlignment="1" applyProtection="1">
      <alignment horizontal="left" vertical="top" wrapText="1"/>
    </xf>
    <xf numFmtId="0" fontId="62" fillId="0" borderId="10" xfId="0" applyFont="1" applyBorder="1" applyAlignment="1" applyProtection="1">
      <alignment horizontal="left" vertical="top"/>
    </xf>
    <xf numFmtId="0" fontId="63" fillId="0" borderId="9" xfId="0" applyFont="1" applyFill="1" applyBorder="1" applyAlignment="1" applyProtection="1">
      <alignment horizontal="left" wrapText="1"/>
    </xf>
    <xf numFmtId="0" fontId="121" fillId="0" borderId="9" xfId="0" applyFont="1" applyBorder="1" applyAlignment="1" applyProtection="1"/>
    <xf numFmtId="0" fontId="121" fillId="0" borderId="10" xfId="0" applyFont="1" applyBorder="1" applyAlignment="1" applyProtection="1"/>
    <xf numFmtId="0" fontId="0" fillId="0" borderId="70" xfId="0" applyFont="1" applyBorder="1" applyAlignment="1" applyProtection="1">
      <alignment horizontal="center"/>
    </xf>
    <xf numFmtId="0" fontId="0" fillId="0" borderId="71" xfId="0" applyFont="1" applyBorder="1" applyAlignment="1" applyProtection="1">
      <alignment horizontal="center"/>
    </xf>
    <xf numFmtId="0" fontId="0" fillId="0" borderId="10" xfId="0" applyBorder="1" applyAlignment="1"/>
    <xf numFmtId="0" fontId="0" fillId="0" borderId="1" xfId="0" applyFont="1" applyBorder="1" applyAlignment="1" applyProtection="1"/>
    <xf numFmtId="0" fontId="0" fillId="0" borderId="1" xfId="0" applyBorder="1" applyAlignment="1" applyProtection="1"/>
    <xf numFmtId="0" fontId="63" fillId="8" borderId="50" xfId="0" applyFont="1" applyFill="1" applyBorder="1" applyAlignment="1" applyProtection="1">
      <alignment horizontal="left"/>
      <protection locked="0"/>
    </xf>
    <xf numFmtId="0" fontId="63" fillId="8" borderId="34" xfId="0" applyFont="1" applyFill="1" applyBorder="1" applyAlignment="1" applyProtection="1">
      <alignment horizontal="left"/>
      <protection locked="0"/>
    </xf>
    <xf numFmtId="0" fontId="63" fillId="8" borderId="35" xfId="0" applyFont="1" applyFill="1" applyBorder="1" applyAlignment="1" applyProtection="1">
      <alignment horizontal="left"/>
      <protection locked="0"/>
    </xf>
    <xf numFmtId="0" fontId="63" fillId="15" borderId="1" xfId="0" applyFont="1" applyFill="1" applyBorder="1" applyAlignment="1" applyProtection="1"/>
    <xf numFmtId="0" fontId="0" fillId="7" borderId="12" xfId="0" applyNumberFormat="1" applyFont="1" applyFill="1" applyBorder="1" applyAlignment="1" applyProtection="1">
      <alignment horizontal="left"/>
      <protection locked="0"/>
    </xf>
    <xf numFmtId="0" fontId="0" fillId="0" borderId="1" xfId="0" applyNumberFormat="1" applyFont="1" applyBorder="1" applyAlignment="1" applyProtection="1">
      <alignment horizontal="left"/>
    </xf>
    <xf numFmtId="0" fontId="87" fillId="0" borderId="47" xfId="0" applyFont="1" applyBorder="1" applyAlignment="1" applyProtection="1">
      <alignment horizontal="right"/>
    </xf>
    <xf numFmtId="0" fontId="87" fillId="0" borderId="48" xfId="0" applyFont="1" applyBorder="1" applyAlignment="1" applyProtection="1">
      <alignment horizontal="right"/>
    </xf>
    <xf numFmtId="0" fontId="87" fillId="0" borderId="49" xfId="0" applyFont="1" applyBorder="1" applyAlignment="1" applyProtection="1">
      <alignment horizontal="right"/>
    </xf>
    <xf numFmtId="0" fontId="63" fillId="0" borderId="6" xfId="0" applyFont="1" applyBorder="1" applyAlignment="1" applyProtection="1"/>
    <xf numFmtId="0" fontId="63" fillId="0" borderId="32" xfId="0" applyFont="1" applyBorder="1" applyAlignment="1" applyProtection="1"/>
    <xf numFmtId="0" fontId="100" fillId="6" borderId="30" xfId="0" applyFont="1" applyFill="1" applyBorder="1" applyAlignment="1" applyProtection="1">
      <alignment horizontal="left"/>
    </xf>
    <xf numFmtId="0" fontId="100" fillId="6" borderId="6" xfId="0" applyFont="1" applyFill="1" applyBorder="1" applyAlignment="1" applyProtection="1">
      <alignment horizontal="left"/>
    </xf>
    <xf numFmtId="0" fontId="0" fillId="0" borderId="32" xfId="0" applyBorder="1" applyAlignment="1"/>
    <xf numFmtId="0" fontId="0" fillId="15" borderId="9" xfId="0" applyFont="1" applyFill="1" applyBorder="1" applyAlignment="1" applyProtection="1"/>
    <xf numFmtId="0" fontId="0" fillId="15" borderId="6" xfId="0" applyFont="1" applyFill="1" applyBorder="1" applyAlignment="1" applyProtection="1"/>
    <xf numFmtId="0" fontId="0" fillId="15" borderId="10" xfId="0" applyFont="1" applyFill="1" applyBorder="1" applyAlignment="1" applyProtection="1"/>
    <xf numFmtId="0" fontId="0" fillId="15" borderId="1" xfId="0" applyFill="1" applyBorder="1" applyAlignment="1" applyProtection="1"/>
    <xf numFmtId="0" fontId="0" fillId="15" borderId="1" xfId="0" applyFont="1" applyFill="1" applyBorder="1" applyAlignment="1" applyProtection="1"/>
    <xf numFmtId="0" fontId="0" fillId="0" borderId="2" xfId="0" applyFont="1" applyBorder="1" applyAlignment="1" applyProtection="1">
      <alignment horizontal="center"/>
    </xf>
    <xf numFmtId="0" fontId="0" fillId="0" borderId="9" xfId="0" applyFont="1" applyFill="1" applyBorder="1" applyAlignment="1" applyProtection="1"/>
    <xf numFmtId="0" fontId="0" fillId="0" borderId="6" xfId="0" applyFont="1" applyFill="1" applyBorder="1" applyAlignment="1" applyProtection="1"/>
    <xf numFmtId="0" fontId="0" fillId="0" borderId="10" xfId="0" applyFont="1" applyFill="1" applyBorder="1" applyAlignment="1" applyProtection="1"/>
    <xf numFmtId="0" fontId="71" fillId="7" borderId="1" xfId="0" applyFont="1" applyFill="1" applyBorder="1" applyAlignment="1" applyProtection="1">
      <alignment horizontal="center"/>
      <protection locked="0"/>
    </xf>
    <xf numFmtId="0" fontId="62" fillId="0" borderId="9" xfId="0" applyFont="1" applyBorder="1" applyAlignment="1" applyProtection="1">
      <alignment horizontal="left" vertical="center"/>
    </xf>
    <xf numFmtId="0" fontId="62" fillId="0" borderId="6" xfId="0" applyFont="1" applyBorder="1" applyAlignment="1" applyProtection="1">
      <alignment horizontal="left" vertical="center"/>
    </xf>
    <xf numFmtId="0" fontId="62" fillId="0" borderId="10" xfId="0" applyFont="1" applyBorder="1" applyAlignment="1" applyProtection="1">
      <alignment horizontal="left" vertical="center"/>
    </xf>
    <xf numFmtId="0" fontId="78" fillId="0" borderId="9" xfId="0" applyFont="1" applyBorder="1" applyProtection="1"/>
    <xf numFmtId="0" fontId="78" fillId="0" borderId="6" xfId="0" applyFont="1" applyBorder="1" applyProtection="1"/>
    <xf numFmtId="0" fontId="78" fillId="0" borderId="10" xfId="0" applyFont="1" applyBorder="1" applyProtection="1"/>
    <xf numFmtId="0" fontId="0" fillId="0" borderId="9" xfId="0" applyFont="1" applyBorder="1" applyAlignment="1" applyProtection="1"/>
    <xf numFmtId="0" fontId="0" fillId="0" borderId="6" xfId="0" applyFont="1" applyBorder="1" applyAlignment="1" applyProtection="1"/>
    <xf numFmtId="0" fontId="0" fillId="0" borderId="10" xfId="0" applyFont="1" applyBorder="1" applyAlignment="1" applyProtection="1"/>
    <xf numFmtId="0" fontId="63" fillId="7" borderId="1" xfId="0" applyFont="1" applyFill="1" applyBorder="1" applyAlignment="1" applyProtection="1">
      <alignment horizontal="center"/>
      <protection locked="0"/>
    </xf>
    <xf numFmtId="0" fontId="63" fillId="0" borderId="33" xfId="0" applyFont="1" applyFill="1" applyBorder="1" applyAlignment="1" applyProtection="1">
      <alignment horizontal="left" wrapText="1"/>
    </xf>
    <xf numFmtId="0" fontId="63" fillId="0" borderId="11" xfId="0" applyFont="1" applyFill="1" applyBorder="1" applyAlignment="1" applyProtection="1">
      <alignment horizontal="left" wrapText="1"/>
    </xf>
    <xf numFmtId="0" fontId="63" fillId="0" borderId="51" xfId="0" applyFont="1" applyFill="1" applyBorder="1" applyAlignment="1" applyProtection="1">
      <alignment horizontal="left" wrapText="1"/>
    </xf>
    <xf numFmtId="0" fontId="63" fillId="0" borderId="28" xfId="0" applyFont="1" applyFill="1" applyBorder="1" applyAlignment="1" applyProtection="1">
      <alignment horizontal="left" wrapText="1"/>
    </xf>
    <xf numFmtId="0" fontId="63" fillId="0" borderId="7" xfId="0" applyFont="1" applyFill="1" applyBorder="1" applyAlignment="1" applyProtection="1">
      <alignment horizontal="left" wrapText="1"/>
    </xf>
    <xf numFmtId="0" fontId="63" fillId="0" borderId="52" xfId="0" applyFont="1" applyFill="1" applyBorder="1" applyAlignment="1" applyProtection="1">
      <alignment horizontal="left" wrapText="1"/>
    </xf>
    <xf numFmtId="0" fontId="100" fillId="6" borderId="14" xfId="0" applyFont="1" applyFill="1" applyBorder="1" applyAlignment="1" applyProtection="1"/>
    <xf numFmtId="0" fontId="100" fillId="6" borderId="1" xfId="0" applyFont="1" applyFill="1" applyBorder="1" applyAlignment="1" applyProtection="1"/>
    <xf numFmtId="0" fontId="0" fillId="0" borderId="52" xfId="0" applyFont="1" applyBorder="1" applyAlignment="1" applyProtection="1">
      <alignment horizontal="center"/>
    </xf>
    <xf numFmtId="0" fontId="0" fillId="15" borderId="9" xfId="0" applyFill="1" applyBorder="1" applyAlignment="1" applyProtection="1"/>
    <xf numFmtId="0" fontId="0" fillId="24" borderId="9" xfId="0" applyFill="1" applyBorder="1" applyAlignment="1" applyProtection="1"/>
    <xf numFmtId="0" fontId="0" fillId="24" borderId="6" xfId="0" applyFont="1" applyFill="1" applyBorder="1" applyAlignment="1" applyProtection="1"/>
    <xf numFmtId="0" fontId="0" fillId="24" borderId="10" xfId="0" applyFont="1" applyFill="1" applyBorder="1" applyAlignment="1" applyProtection="1"/>
    <xf numFmtId="0" fontId="0" fillId="0" borderId="29" xfId="0" applyFont="1" applyBorder="1" applyProtection="1"/>
    <xf numFmtId="0" fontId="0" fillId="0" borderId="6" xfId="0" applyFont="1" applyBorder="1" applyProtection="1"/>
    <xf numFmtId="0" fontId="0" fillId="0" borderId="10" xfId="0" applyFont="1" applyBorder="1" applyProtection="1"/>
    <xf numFmtId="0" fontId="0" fillId="7" borderId="1" xfId="0" applyFont="1" applyFill="1" applyBorder="1" applyAlignment="1" applyProtection="1">
      <alignment horizontal="center"/>
      <protection locked="0"/>
    </xf>
    <xf numFmtId="0" fontId="0" fillId="0" borderId="43" xfId="0" applyFont="1" applyBorder="1" applyProtection="1"/>
    <xf numFmtId="0" fontId="0" fillId="0" borderId="11" xfId="0" applyFont="1" applyBorder="1" applyProtection="1"/>
    <xf numFmtId="0" fontId="0" fillId="0" borderId="27" xfId="0" applyFont="1" applyBorder="1" applyProtection="1"/>
    <xf numFmtId="0" fontId="77" fillId="24" borderId="9" xfId="0" applyFont="1" applyFill="1" applyBorder="1" applyAlignment="1" applyProtection="1"/>
    <xf numFmtId="0" fontId="77" fillId="24" borderId="6" xfId="0" applyFont="1" applyFill="1" applyBorder="1" applyAlignment="1" applyProtection="1"/>
    <xf numFmtId="0" fontId="77" fillId="24" borderId="10" xfId="0" applyFont="1" applyFill="1" applyBorder="1" applyAlignment="1" applyProtection="1"/>
    <xf numFmtId="0" fontId="0" fillId="0" borderId="67" xfId="0" applyFont="1" applyBorder="1" applyProtection="1"/>
    <xf numFmtId="0" fontId="0" fillId="0" borderId="13" xfId="0" applyFont="1" applyBorder="1" applyProtection="1"/>
    <xf numFmtId="0" fontId="0" fillId="0" borderId="72" xfId="0" applyFont="1" applyBorder="1" applyProtection="1"/>
    <xf numFmtId="0" fontId="0" fillId="17" borderId="9" xfId="0" applyFill="1" applyBorder="1" applyAlignment="1" applyProtection="1"/>
    <xf numFmtId="0" fontId="0" fillId="17" borderId="6" xfId="0" applyFont="1" applyFill="1" applyBorder="1" applyAlignment="1" applyProtection="1"/>
    <xf numFmtId="0" fontId="0" fillId="17" borderId="10" xfId="0" applyFont="1" applyFill="1" applyBorder="1" applyAlignment="1" applyProtection="1"/>
    <xf numFmtId="0" fontId="0" fillId="0" borderId="9" xfId="0" applyBorder="1" applyAlignment="1" applyProtection="1"/>
    <xf numFmtId="0" fontId="0" fillId="24" borderId="9" xfId="0" applyFont="1" applyFill="1" applyBorder="1" applyAlignment="1" applyProtection="1"/>
    <xf numFmtId="0" fontId="0" fillId="7" borderId="53" xfId="0" applyFont="1" applyFill="1" applyBorder="1" applyAlignment="1" applyProtection="1">
      <alignment horizontal="left"/>
      <protection locked="0"/>
    </xf>
    <xf numFmtId="0" fontId="0" fillId="7" borderId="48" xfId="0" applyFont="1" applyFill="1" applyBorder="1" applyAlignment="1" applyProtection="1">
      <alignment horizontal="left"/>
      <protection locked="0"/>
    </xf>
    <xf numFmtId="0" fontId="0" fillId="7" borderId="49" xfId="0" applyFont="1" applyFill="1" applyBorder="1" applyAlignment="1" applyProtection="1">
      <alignment horizontal="left"/>
      <protection locked="0"/>
    </xf>
    <xf numFmtId="0" fontId="0" fillId="0" borderId="65" xfId="0" applyFont="1" applyBorder="1" applyProtection="1"/>
    <xf numFmtId="0" fontId="63" fillId="0" borderId="9" xfId="0" applyFont="1" applyBorder="1" applyProtection="1"/>
    <xf numFmtId="0" fontId="63" fillId="0" borderId="6" xfId="0" applyFont="1" applyBorder="1" applyProtection="1"/>
    <xf numFmtId="0" fontId="63" fillId="0" borderId="10" xfId="0" applyFont="1" applyBorder="1" applyProtection="1"/>
    <xf numFmtId="0" fontId="0" fillId="0" borderId="0" xfId="0" applyFont="1" applyBorder="1" applyProtection="1"/>
    <xf numFmtId="0" fontId="0" fillId="0" borderId="26" xfId="0" applyFont="1" applyBorder="1" applyProtection="1"/>
    <xf numFmtId="0" fontId="0" fillId="0" borderId="7" xfId="0" applyFont="1" applyBorder="1" applyProtection="1"/>
    <xf numFmtId="0" fontId="0" fillId="0" borderId="8" xfId="0" applyFont="1" applyBorder="1" applyProtection="1"/>
    <xf numFmtId="0" fontId="186" fillId="8" borderId="50" xfId="0" applyFont="1" applyFill="1" applyBorder="1" applyAlignment="1" applyProtection="1">
      <alignment horizontal="left"/>
      <protection locked="0"/>
    </xf>
    <xf numFmtId="0" fontId="186" fillId="8" borderId="34" xfId="0" applyFont="1" applyFill="1" applyBorder="1" applyAlignment="1" applyProtection="1">
      <alignment horizontal="left"/>
      <protection locked="0"/>
    </xf>
    <xf numFmtId="0" fontId="186" fillId="8" borderId="35" xfId="0" applyFont="1" applyFill="1" applyBorder="1" applyAlignment="1" applyProtection="1">
      <alignment horizontal="left"/>
      <protection locked="0"/>
    </xf>
    <xf numFmtId="0" fontId="180" fillId="17" borderId="9" xfId="0" applyFont="1" applyFill="1" applyBorder="1" applyAlignment="1" applyProtection="1"/>
    <xf numFmtId="0" fontId="180" fillId="17" borderId="6" xfId="0" applyFont="1" applyFill="1" applyBorder="1" applyAlignment="1" applyProtection="1"/>
    <xf numFmtId="0" fontId="180" fillId="17" borderId="10" xfId="0" applyFont="1" applyFill="1" applyBorder="1" applyAlignment="1" applyProtection="1"/>
    <xf numFmtId="0" fontId="180" fillId="24" borderId="9" xfId="0" applyFont="1" applyFill="1" applyBorder="1" applyAlignment="1" applyProtection="1"/>
    <xf numFmtId="0" fontId="180" fillId="24" borderId="6" xfId="0" applyFont="1" applyFill="1" applyBorder="1" applyAlignment="1" applyProtection="1"/>
    <xf numFmtId="0" fontId="180" fillId="24" borderId="10" xfId="0" applyFont="1" applyFill="1" applyBorder="1" applyAlignment="1" applyProtection="1"/>
    <xf numFmtId="0" fontId="180" fillId="0" borderId="9" xfId="0" applyNumberFormat="1" applyFont="1" applyBorder="1" applyAlignment="1" applyProtection="1"/>
    <xf numFmtId="0" fontId="180" fillId="0" borderId="6" xfId="0" applyNumberFormat="1" applyFont="1" applyBorder="1" applyAlignment="1" applyProtection="1"/>
    <xf numFmtId="0" fontId="180" fillId="0" borderId="10" xfId="0" applyNumberFormat="1" applyFont="1" applyBorder="1" applyAlignment="1" applyProtection="1"/>
    <xf numFmtId="0" fontId="180" fillId="0" borderId="6" xfId="0" applyFont="1" applyBorder="1" applyAlignment="1" applyProtection="1"/>
    <xf numFmtId="0" fontId="180" fillId="0" borderId="10" xfId="0" applyFont="1" applyBorder="1" applyAlignment="1" applyProtection="1"/>
    <xf numFmtId="0" fontId="193" fillId="24" borderId="9" xfId="0" applyFont="1" applyFill="1" applyBorder="1" applyAlignment="1" applyProtection="1"/>
    <xf numFmtId="0" fontId="193" fillId="24" borderId="6" xfId="0" applyFont="1" applyFill="1" applyBorder="1" applyAlignment="1" applyProtection="1"/>
    <xf numFmtId="0" fontId="193" fillId="24" borderId="10" xfId="0" applyFont="1" applyFill="1" applyBorder="1" applyAlignment="1" applyProtection="1"/>
    <xf numFmtId="0" fontId="0" fillId="0" borderId="9" xfId="0" applyFont="1" applyBorder="1" applyAlignment="1" applyProtection="1">
      <alignment wrapText="1"/>
    </xf>
    <xf numFmtId="0" fontId="186" fillId="0" borderId="9" xfId="0" applyFont="1" applyBorder="1" applyProtection="1"/>
    <xf numFmtId="0" fontId="186" fillId="0" borderId="6" xfId="0" applyFont="1" applyBorder="1" applyProtection="1"/>
    <xf numFmtId="0" fontId="186" fillId="0" borderId="10" xfId="0" applyFont="1" applyBorder="1" applyProtection="1"/>
    <xf numFmtId="0" fontId="197" fillId="0" borderId="47" xfId="0" applyFont="1" applyBorder="1" applyAlignment="1" applyProtection="1">
      <alignment horizontal="right"/>
    </xf>
    <xf numFmtId="0" fontId="197" fillId="0" borderId="48" xfId="0" applyFont="1" applyBorder="1" applyAlignment="1" applyProtection="1">
      <alignment horizontal="right"/>
    </xf>
    <xf numFmtId="0" fontId="197" fillId="0" borderId="49" xfId="0" applyFont="1" applyBorder="1" applyAlignment="1" applyProtection="1">
      <alignment horizontal="right"/>
    </xf>
    <xf numFmtId="0" fontId="180" fillId="7" borderId="53" xfId="0" applyFont="1" applyFill="1" applyBorder="1" applyAlignment="1" applyProtection="1">
      <protection locked="0"/>
    </xf>
    <xf numFmtId="0" fontId="180" fillId="7" borderId="48" xfId="0" applyFont="1" applyFill="1" applyBorder="1" applyAlignment="1" applyProtection="1">
      <protection locked="0"/>
    </xf>
    <xf numFmtId="0" fontId="180" fillId="7" borderId="49" xfId="0" applyFont="1" applyFill="1" applyBorder="1" applyAlignment="1" applyProtection="1">
      <protection locked="0"/>
    </xf>
    <xf numFmtId="0" fontId="180" fillId="0" borderId="6" xfId="0" applyFont="1" applyBorder="1" applyProtection="1"/>
    <xf numFmtId="0" fontId="180" fillId="0" borderId="10" xfId="0" applyFont="1" applyBorder="1" applyProtection="1"/>
    <xf numFmtId="0" fontId="180" fillId="0" borderId="73" xfId="0" applyFont="1" applyBorder="1" applyProtection="1"/>
    <xf numFmtId="0" fontId="180" fillId="0" borderId="13" xfId="0" applyFont="1" applyBorder="1" applyProtection="1"/>
    <xf numFmtId="0" fontId="180" fillId="0" borderId="74" xfId="0" applyFont="1" applyBorder="1" applyProtection="1"/>
    <xf numFmtId="0" fontId="186" fillId="24" borderId="9" xfId="0" applyFont="1" applyFill="1" applyBorder="1" applyAlignment="1" applyProtection="1"/>
    <xf numFmtId="0" fontId="186" fillId="24" borderId="6" xfId="0" applyFont="1" applyFill="1" applyBorder="1" applyAlignment="1" applyProtection="1"/>
    <xf numFmtId="0" fontId="186" fillId="24" borderId="10" xfId="0" applyFont="1" applyFill="1" applyBorder="1" applyAlignment="1" applyProtection="1"/>
    <xf numFmtId="0" fontId="0" fillId="24" borderId="6" xfId="0" applyFill="1" applyBorder="1" applyAlignment="1"/>
    <xf numFmtId="0" fontId="0" fillId="24" borderId="10" xfId="0" applyFill="1" applyBorder="1" applyAlignment="1"/>
    <xf numFmtId="0" fontId="180" fillId="0" borderId="9" xfId="0" applyFont="1" applyFill="1" applyBorder="1" applyAlignment="1" applyProtection="1"/>
    <xf numFmtId="0" fontId="180" fillId="0" borderId="6" xfId="0" applyFont="1" applyFill="1" applyBorder="1" applyAlignment="1" applyProtection="1"/>
    <xf numFmtId="0" fontId="180" fillId="0" borderId="10" xfId="0" applyFont="1" applyFill="1" applyBorder="1" applyAlignment="1" applyProtection="1"/>
    <xf numFmtId="0" fontId="195" fillId="0" borderId="9" xfId="0" applyFont="1" applyBorder="1" applyAlignment="1" applyProtection="1"/>
    <xf numFmtId="0" fontId="195" fillId="0" borderId="6" xfId="0" applyFont="1" applyBorder="1" applyAlignment="1" applyProtection="1"/>
    <xf numFmtId="0" fontId="195" fillId="0" borderId="10" xfId="0" applyFont="1" applyBorder="1" applyAlignment="1" applyProtection="1"/>
    <xf numFmtId="49" fontId="180" fillId="0" borderId="65" xfId="0" applyNumberFormat="1" applyFont="1" applyBorder="1" applyAlignment="1" applyProtection="1">
      <alignment horizontal="center"/>
    </xf>
    <xf numFmtId="49" fontId="180" fillId="0" borderId="10" xfId="0" applyNumberFormat="1" applyFont="1" applyBorder="1" applyAlignment="1" applyProtection="1">
      <alignment horizontal="center"/>
    </xf>
    <xf numFmtId="0" fontId="188" fillId="6" borderId="14" xfId="0" applyFont="1" applyFill="1" applyBorder="1" applyAlignment="1" applyProtection="1"/>
    <xf numFmtId="0" fontId="188" fillId="6" borderId="2" xfId="0" applyFont="1" applyFill="1" applyBorder="1" applyAlignment="1" applyProtection="1"/>
    <xf numFmtId="0" fontId="188" fillId="6" borderId="1" xfId="0" applyFont="1" applyFill="1" applyBorder="1" applyAlignment="1" applyProtection="1"/>
    <xf numFmtId="0" fontId="180" fillId="0" borderId="30" xfId="0" applyFont="1" applyBorder="1" applyProtection="1"/>
    <xf numFmtId="0" fontId="180" fillId="0" borderId="32" xfId="0" applyFont="1" applyBorder="1" applyProtection="1"/>
    <xf numFmtId="0" fontId="180" fillId="0" borderId="43" xfId="0" applyFont="1" applyBorder="1" applyProtection="1"/>
    <xf numFmtId="0" fontId="180" fillId="0" borderId="11" xfId="0" applyFont="1" applyBorder="1" applyProtection="1"/>
    <xf numFmtId="0" fontId="180" fillId="0" borderId="27" xfId="0" applyFont="1" applyBorder="1" applyProtection="1"/>
    <xf numFmtId="0" fontId="180" fillId="0" borderId="29" xfId="0" applyFont="1" applyBorder="1" applyProtection="1"/>
    <xf numFmtId="0" fontId="180" fillId="0" borderId="7" xfId="0" applyFont="1" applyBorder="1" applyProtection="1"/>
    <xf numFmtId="0" fontId="186" fillId="0" borderId="30" xfId="0" applyFont="1" applyBorder="1" applyProtection="1"/>
    <xf numFmtId="0" fontId="186" fillId="0" borderId="32" xfId="0" applyFont="1" applyBorder="1" applyProtection="1"/>
    <xf numFmtId="0" fontId="188" fillId="6" borderId="14" xfId="0" applyFont="1" applyFill="1" applyBorder="1" applyAlignment="1" applyProtection="1">
      <alignment horizontal="left"/>
    </xf>
    <xf numFmtId="0" fontId="188" fillId="6" borderId="1" xfId="0" applyFont="1" applyFill="1" applyBorder="1" applyAlignment="1" applyProtection="1">
      <alignment horizontal="left"/>
    </xf>
    <xf numFmtId="0" fontId="180" fillId="0" borderId="9" xfId="0" applyFont="1" applyBorder="1" applyAlignment="1" applyProtection="1"/>
    <xf numFmtId="0" fontId="0" fillId="0" borderId="6" xfId="0" applyBorder="1" applyAlignment="1"/>
    <xf numFmtId="0" fontId="186" fillId="24" borderId="9" xfId="0" applyFont="1" applyFill="1" applyBorder="1" applyAlignment="1" applyProtection="1">
      <alignment wrapText="1"/>
    </xf>
    <xf numFmtId="0" fontId="186" fillId="24" borderId="6" xfId="0" applyFont="1" applyFill="1" applyBorder="1" applyAlignment="1" applyProtection="1">
      <alignment wrapText="1"/>
    </xf>
    <xf numFmtId="0" fontId="186" fillId="24" borderId="10" xfId="0" applyFont="1" applyFill="1" applyBorder="1" applyAlignment="1" applyProtection="1">
      <alignment wrapText="1"/>
    </xf>
    <xf numFmtId="0" fontId="186" fillId="0" borderId="1" xfId="0" applyFont="1" applyBorder="1" applyAlignment="1" applyProtection="1"/>
    <xf numFmtId="0" fontId="186" fillId="0" borderId="15" xfId="0" applyFont="1" applyBorder="1" applyAlignment="1" applyProtection="1"/>
    <xf numFmtId="0" fontId="178" fillId="0" borderId="40" xfId="0" applyFont="1" applyFill="1" applyBorder="1" applyAlignment="1" applyProtection="1">
      <alignment horizontal="center"/>
    </xf>
    <xf numFmtId="0" fontId="178" fillId="0" borderId="41" xfId="0" applyFont="1" applyFill="1" applyBorder="1" applyAlignment="1" applyProtection="1">
      <alignment horizontal="center"/>
    </xf>
    <xf numFmtId="0" fontId="178" fillId="0" borderId="24" xfId="0" applyFont="1" applyFill="1" applyBorder="1" applyAlignment="1" applyProtection="1">
      <alignment horizontal="center"/>
    </xf>
    <xf numFmtId="0" fontId="180" fillId="0" borderId="65" xfId="0" applyFont="1" applyFill="1" applyBorder="1" applyAlignment="1" applyProtection="1">
      <alignment horizontal="center"/>
    </xf>
    <xf numFmtId="0" fontId="180" fillId="0" borderId="10" xfId="0" applyFont="1" applyFill="1" applyBorder="1" applyAlignment="1" applyProtection="1">
      <alignment horizontal="center"/>
    </xf>
    <xf numFmtId="0" fontId="180" fillId="0" borderId="43" xfId="0" applyFont="1" applyBorder="1" applyAlignment="1" applyProtection="1">
      <alignment horizontal="center"/>
    </xf>
    <xf numFmtId="0" fontId="180" fillId="0" borderId="11" xfId="0" applyFont="1" applyBorder="1" applyAlignment="1" applyProtection="1">
      <alignment horizontal="center"/>
    </xf>
    <xf numFmtId="0" fontId="180" fillId="0" borderId="27" xfId="0" applyFont="1" applyBorder="1" applyAlignment="1" applyProtection="1">
      <alignment horizontal="center"/>
    </xf>
    <xf numFmtId="0" fontId="180" fillId="0" borderId="13" xfId="0" applyFont="1" applyBorder="1" applyAlignment="1" applyProtection="1">
      <alignment horizontal="center"/>
    </xf>
    <xf numFmtId="0" fontId="180" fillId="0" borderId="0" xfId="0" applyFont="1" applyBorder="1" applyAlignment="1" applyProtection="1">
      <alignment horizontal="center"/>
    </xf>
    <xf numFmtId="0" fontId="180" fillId="0" borderId="26" xfId="0" applyFont="1" applyBorder="1" applyAlignment="1" applyProtection="1">
      <alignment horizontal="center"/>
    </xf>
    <xf numFmtId="0" fontId="180" fillId="0" borderId="29" xfId="0" applyFont="1" applyBorder="1" applyAlignment="1" applyProtection="1">
      <alignment horizontal="center"/>
    </xf>
    <xf numFmtId="0" fontId="180" fillId="0" borderId="7" xfId="0" applyFont="1" applyBorder="1" applyAlignment="1" applyProtection="1">
      <alignment horizontal="center"/>
    </xf>
    <xf numFmtId="0" fontId="0" fillId="24" borderId="1" xfId="0" applyFill="1" applyBorder="1" applyAlignment="1" applyProtection="1"/>
    <xf numFmtId="0" fontId="0" fillId="24" borderId="1" xfId="0" applyFont="1" applyFill="1" applyBorder="1" applyAlignment="1" applyProtection="1"/>
    <xf numFmtId="0" fontId="63" fillId="0" borderId="1" xfId="0" applyFont="1" applyBorder="1" applyAlignment="1" applyProtection="1"/>
    <xf numFmtId="0" fontId="0" fillId="17" borderId="1" xfId="0" applyFill="1" applyBorder="1" applyAlignment="1" applyProtection="1"/>
    <xf numFmtId="0" fontId="0" fillId="17" borderId="1" xfId="0" applyFont="1" applyFill="1" applyBorder="1" applyAlignment="1" applyProtection="1"/>
    <xf numFmtId="0" fontId="63" fillId="24" borderId="1" xfId="0" applyFont="1" applyFill="1" applyBorder="1" applyAlignment="1" applyProtection="1"/>
    <xf numFmtId="0" fontId="63" fillId="17" borderId="1" xfId="0" applyFont="1" applyFill="1" applyBorder="1" applyAlignment="1" applyProtection="1"/>
    <xf numFmtId="0" fontId="0" fillId="0" borderId="30" xfId="0" applyFont="1" applyBorder="1" applyProtection="1"/>
    <xf numFmtId="0" fontId="0" fillId="0" borderId="1" xfId="0" applyFont="1" applyBorder="1" applyProtection="1"/>
    <xf numFmtId="0" fontId="0" fillId="7" borderId="12" xfId="0" applyFont="1" applyFill="1" applyBorder="1" applyAlignment="1" applyProtection="1">
      <protection locked="0"/>
    </xf>
    <xf numFmtId="0" fontId="0" fillId="0" borderId="1" xfId="0" applyNumberFormat="1" applyFont="1" applyBorder="1" applyAlignment="1" applyProtection="1"/>
    <xf numFmtId="0" fontId="87" fillId="0" borderId="25" xfId="0" applyFont="1" applyBorder="1" applyAlignment="1" applyProtection="1">
      <alignment horizontal="right"/>
    </xf>
    <xf numFmtId="0" fontId="87" fillId="0" borderId="12" xfId="0" applyFont="1" applyBorder="1" applyAlignment="1" applyProtection="1">
      <alignment horizontal="right"/>
    </xf>
    <xf numFmtId="0" fontId="62" fillId="0" borderId="1" xfId="0" applyFont="1" applyBorder="1" applyAlignment="1" applyProtection="1"/>
    <xf numFmtId="0" fontId="0" fillId="0" borderId="6" xfId="0" applyBorder="1" applyAlignment="1" applyProtection="1"/>
    <xf numFmtId="0" fontId="0" fillId="0" borderId="10" xfId="0" applyBorder="1" applyAlignment="1" applyProtection="1"/>
    <xf numFmtId="0" fontId="0" fillId="0" borderId="14" xfId="0" applyFont="1" applyBorder="1" applyProtection="1"/>
    <xf numFmtId="0" fontId="100" fillId="6" borderId="14" xfId="0" applyFont="1" applyFill="1" applyBorder="1" applyProtection="1"/>
    <xf numFmtId="0" fontId="100" fillId="6" borderId="1" xfId="0" applyFont="1" applyFill="1" applyBorder="1" applyProtection="1"/>
    <xf numFmtId="0" fontId="0" fillId="0" borderId="1" xfId="0" applyFill="1" applyBorder="1" applyAlignment="1" applyProtection="1"/>
    <xf numFmtId="0" fontId="77" fillId="17" borderId="9" xfId="0" applyFont="1" applyFill="1" applyBorder="1" applyAlignment="1" applyProtection="1">
      <alignment horizontal="left"/>
    </xf>
    <xf numFmtId="0" fontId="77" fillId="17" borderId="6" xfId="0" applyFont="1" applyFill="1" applyBorder="1" applyAlignment="1" applyProtection="1">
      <alignment horizontal="left"/>
    </xf>
    <xf numFmtId="0" fontId="77" fillId="17" borderId="10" xfId="0" applyFont="1" applyFill="1" applyBorder="1" applyAlignment="1" applyProtection="1">
      <alignment horizontal="left"/>
    </xf>
    <xf numFmtId="0" fontId="79" fillId="7" borderId="1" xfId="0" applyFont="1" applyFill="1" applyBorder="1" applyAlignment="1" applyProtection="1">
      <protection locked="0"/>
    </xf>
    <xf numFmtId="0" fontId="61" fillId="0" borderId="43" xfId="0" applyFont="1" applyBorder="1" applyAlignment="1" applyProtection="1">
      <alignment horizontal="right" vertical="center"/>
    </xf>
    <xf numFmtId="0" fontId="61" fillId="0" borderId="11" xfId="0" applyFont="1" applyBorder="1" applyAlignment="1" applyProtection="1">
      <alignment horizontal="right" vertical="center"/>
    </xf>
    <xf numFmtId="0" fontId="61" fillId="0" borderId="27" xfId="0" applyFont="1" applyBorder="1" applyAlignment="1" applyProtection="1">
      <alignment horizontal="right" vertical="center"/>
    </xf>
    <xf numFmtId="0" fontId="61" fillId="0" borderId="29" xfId="0" applyFont="1" applyBorder="1" applyAlignment="1" applyProtection="1">
      <alignment horizontal="right" vertical="center"/>
    </xf>
    <xf numFmtId="0" fontId="61" fillId="0" borderId="7" xfId="0" applyFont="1" applyBorder="1" applyAlignment="1" applyProtection="1">
      <alignment horizontal="right" vertical="center"/>
    </xf>
    <xf numFmtId="0" fontId="61" fillId="0" borderId="8" xfId="0" applyFont="1" applyBorder="1" applyAlignment="1" applyProtection="1">
      <alignment horizontal="right" vertical="center"/>
    </xf>
    <xf numFmtId="0" fontId="78" fillId="0" borderId="1" xfId="0" applyFont="1" applyFill="1" applyBorder="1" applyAlignment="1" applyProtection="1"/>
    <xf numFmtId="0" fontId="78" fillId="17" borderId="1" xfId="0" applyFont="1" applyFill="1" applyBorder="1" applyAlignment="1" applyProtection="1"/>
    <xf numFmtId="0" fontId="77" fillId="0" borderId="1" xfId="0" applyFont="1" applyBorder="1" applyAlignment="1" applyProtection="1"/>
    <xf numFmtId="0" fontId="100" fillId="6" borderId="30" xfId="0" applyFont="1" applyFill="1" applyBorder="1" applyAlignment="1" applyProtection="1"/>
    <xf numFmtId="0" fontId="100" fillId="6" borderId="6" xfId="0" applyFont="1" applyFill="1" applyBorder="1" applyAlignment="1" applyProtection="1"/>
    <xf numFmtId="0" fontId="100" fillId="6" borderId="10" xfId="0" applyFont="1" applyFill="1" applyBorder="1" applyAlignment="1" applyProtection="1"/>
    <xf numFmtId="0" fontId="0" fillId="0" borderId="32" xfId="0" applyFont="1" applyBorder="1" applyProtection="1"/>
    <xf numFmtId="0" fontId="63" fillId="24" borderId="9" xfId="0" applyFont="1" applyFill="1" applyBorder="1" applyAlignment="1" applyProtection="1"/>
    <xf numFmtId="0" fontId="63" fillId="24" borderId="10" xfId="0" applyFont="1" applyFill="1" applyBorder="1" applyAlignment="1" applyProtection="1"/>
    <xf numFmtId="0" fontId="0" fillId="0" borderId="9" xfId="0" applyFont="1" applyFill="1" applyBorder="1" applyAlignment="1" applyProtection="1">
      <alignment horizontal="center"/>
    </xf>
    <xf numFmtId="0" fontId="0" fillId="0" borderId="10" xfId="0" applyFont="1" applyFill="1" applyBorder="1" applyAlignment="1" applyProtection="1">
      <alignment horizontal="center"/>
    </xf>
    <xf numFmtId="0" fontId="0" fillId="0" borderId="3" xfId="0" applyFont="1" applyBorder="1" applyProtection="1"/>
    <xf numFmtId="0" fontId="0" fillId="0" borderId="42" xfId="0" applyFont="1" applyBorder="1" applyProtection="1"/>
    <xf numFmtId="0" fontId="0" fillId="0" borderId="2" xfId="0" applyFont="1" applyBorder="1" applyProtection="1"/>
    <xf numFmtId="0" fontId="122" fillId="0" borderId="9" xfId="0" applyFont="1" applyBorder="1" applyAlignment="1" applyProtection="1"/>
    <xf numFmtId="0" fontId="122" fillId="0" borderId="10" xfId="0" applyFont="1" applyBorder="1" applyAlignment="1" applyProtection="1"/>
    <xf numFmtId="0" fontId="0" fillId="0" borderId="75" xfId="0" applyFont="1" applyBorder="1" applyAlignment="1" applyProtection="1">
      <alignment horizontal="center"/>
    </xf>
    <xf numFmtId="0" fontId="0" fillId="0" borderId="61" xfId="0" applyFont="1" applyBorder="1" applyAlignment="1" applyProtection="1">
      <alignment horizontal="center"/>
    </xf>
    <xf numFmtId="0" fontId="0" fillId="0" borderId="76" xfId="0" applyFont="1" applyBorder="1" applyAlignment="1" applyProtection="1">
      <alignment horizontal="center"/>
    </xf>
    <xf numFmtId="0" fontId="100" fillId="6" borderId="11" xfId="0" applyFont="1" applyFill="1" applyBorder="1" applyAlignment="1" applyProtection="1"/>
    <xf numFmtId="0" fontId="62" fillId="0" borderId="9" xfId="0" applyFont="1" applyBorder="1" applyAlignment="1" applyProtection="1"/>
    <xf numFmtId="0" fontId="62" fillId="0" borderId="10" xfId="0" applyFont="1" applyBorder="1" applyAlignment="1" applyProtection="1"/>
    <xf numFmtId="0" fontId="63" fillId="0" borderId="9" xfId="0" applyFont="1" applyFill="1" applyBorder="1" applyAlignment="1" applyProtection="1"/>
    <xf numFmtId="0" fontId="63" fillId="0" borderId="10" xfId="0" applyFont="1" applyFill="1" applyBorder="1" applyAlignment="1" applyProtection="1"/>
    <xf numFmtId="0" fontId="0" fillId="17" borderId="9" xfId="0" applyFont="1" applyFill="1" applyBorder="1" applyAlignment="1" applyProtection="1"/>
    <xf numFmtId="0" fontId="0" fillId="17" borderId="10" xfId="0" applyFill="1" applyBorder="1" applyAlignment="1" applyProtection="1"/>
    <xf numFmtId="0" fontId="0" fillId="24" borderId="10" xfId="0" applyFill="1" applyBorder="1" applyAlignment="1" applyProtection="1"/>
    <xf numFmtId="0" fontId="0" fillId="0" borderId="46" xfId="0" applyFont="1" applyBorder="1" applyProtection="1"/>
    <xf numFmtId="0" fontId="122" fillId="0" borderId="9" xfId="0" applyFont="1" applyFill="1" applyBorder="1" applyAlignment="1" applyProtection="1"/>
    <xf numFmtId="0" fontId="122" fillId="0" borderId="10" xfId="0" applyFont="1" applyFill="1" applyBorder="1" applyAlignment="1" applyProtection="1"/>
    <xf numFmtId="0" fontId="83" fillId="0" borderId="9" xfId="0" applyNumberFormat="1" applyFont="1" applyFill="1" applyBorder="1" applyAlignment="1" applyProtection="1">
      <alignment horizontal="center"/>
    </xf>
    <xf numFmtId="0" fontId="83" fillId="0" borderId="10" xfId="0" applyNumberFormat="1" applyFont="1" applyFill="1" applyBorder="1" applyAlignment="1" applyProtection="1">
      <alignment horizontal="center"/>
    </xf>
    <xf numFmtId="0" fontId="0" fillId="0" borderId="16" xfId="0" applyFont="1" applyFill="1" applyBorder="1" applyProtection="1"/>
    <xf numFmtId="0" fontId="0" fillId="0" borderId="54" xfId="0" applyFont="1" applyFill="1" applyBorder="1" applyProtection="1"/>
    <xf numFmtId="0" fontId="0" fillId="0" borderId="3" xfId="0" applyFont="1" applyFill="1" applyBorder="1" applyProtection="1"/>
    <xf numFmtId="0" fontId="63" fillId="0" borderId="9" xfId="0" applyFont="1" applyFill="1" applyBorder="1" applyAlignment="1" applyProtection="1">
      <alignment wrapText="1"/>
    </xf>
    <xf numFmtId="0" fontId="117" fillId="0" borderId="1" xfId="0" applyFont="1" applyBorder="1" applyAlignment="1">
      <alignment horizontal="left"/>
    </xf>
    <xf numFmtId="0" fontId="77" fillId="0" borderId="28" xfId="0" applyFont="1" applyBorder="1" applyAlignment="1" applyProtection="1"/>
    <xf numFmtId="0" fontId="77" fillId="0" borderId="8" xfId="0" applyFont="1" applyBorder="1" applyAlignment="1" applyProtection="1"/>
    <xf numFmtId="0" fontId="62" fillId="0" borderId="9" xfId="0" applyFont="1" applyBorder="1" applyAlignment="1" applyProtection="1">
      <alignment vertical="center"/>
    </xf>
    <xf numFmtId="0" fontId="62" fillId="0" borderId="10" xfId="0" applyFont="1" applyBorder="1" applyAlignment="1" applyProtection="1">
      <alignment vertical="center"/>
    </xf>
    <xf numFmtId="0" fontId="63" fillId="8" borderId="15" xfId="0" applyFont="1" applyFill="1" applyBorder="1" applyAlignment="1" applyProtection="1">
      <alignment horizontal="left"/>
      <protection locked="0"/>
    </xf>
    <xf numFmtId="0" fontId="63" fillId="8" borderId="31" xfId="0" applyFont="1" applyFill="1" applyBorder="1" applyAlignment="1" applyProtection="1">
      <alignment horizontal="left"/>
      <protection locked="0"/>
    </xf>
    <xf numFmtId="0" fontId="100" fillId="6" borderId="30" xfId="0" applyFont="1" applyFill="1" applyBorder="1" applyProtection="1"/>
    <xf numFmtId="0" fontId="100" fillId="6" borderId="11" xfId="0" applyFont="1" applyFill="1" applyBorder="1" applyProtection="1"/>
    <xf numFmtId="0" fontId="100" fillId="6" borderId="6" xfId="0" applyFont="1" applyFill="1" applyBorder="1" applyProtection="1"/>
    <xf numFmtId="0" fontId="100" fillId="6" borderId="10" xfId="0" applyFont="1" applyFill="1" applyBorder="1" applyProtection="1"/>
    <xf numFmtId="0" fontId="0" fillId="7" borderId="9" xfId="0" applyFont="1" applyFill="1" applyBorder="1" applyAlignment="1" applyProtection="1">
      <protection locked="0"/>
    </xf>
    <xf numFmtId="0" fontId="0" fillId="7" borderId="10" xfId="0" applyFont="1" applyFill="1" applyBorder="1" applyAlignment="1" applyProtection="1">
      <protection locked="0"/>
    </xf>
    <xf numFmtId="0" fontId="173" fillId="0" borderId="42" xfId="0" applyFont="1" applyBorder="1" applyAlignment="1" applyProtection="1">
      <alignment horizontal="center" vertical="center"/>
    </xf>
    <xf numFmtId="0" fontId="173" fillId="0" borderId="13" xfId="0" applyFont="1" applyBorder="1" applyAlignment="1" applyProtection="1">
      <alignment horizontal="center" vertical="center"/>
    </xf>
    <xf numFmtId="0" fontId="173" fillId="0" borderId="72" xfId="0" applyFont="1" applyBorder="1" applyAlignment="1" applyProtection="1">
      <alignment horizontal="center" vertical="center"/>
    </xf>
    <xf numFmtId="0" fontId="62" fillId="24" borderId="9" xfId="0" applyFont="1" applyFill="1" applyBorder="1" applyAlignment="1" applyProtection="1"/>
    <xf numFmtId="0" fontId="62" fillId="24" borderId="10" xfId="0" applyFont="1" applyFill="1" applyBorder="1" applyAlignment="1" applyProtection="1"/>
    <xf numFmtId="0" fontId="100" fillId="6" borderId="71" xfId="0" applyFont="1" applyFill="1" applyBorder="1" applyAlignment="1" applyProtection="1">
      <alignment horizontal="left"/>
    </xf>
    <xf numFmtId="0" fontId="100" fillId="6" borderId="77" xfId="0" applyFont="1" applyFill="1" applyBorder="1" applyAlignment="1" applyProtection="1">
      <alignment horizontal="left"/>
    </xf>
    <xf numFmtId="0" fontId="100" fillId="6" borderId="78" xfId="0" applyFont="1" applyFill="1" applyBorder="1" applyAlignment="1" applyProtection="1">
      <alignment horizontal="left"/>
    </xf>
    <xf numFmtId="0" fontId="0" fillId="0" borderId="9" xfId="0" applyFill="1" applyBorder="1" applyAlignment="1" applyProtection="1"/>
    <xf numFmtId="0" fontId="63" fillId="0" borderId="6" xfId="0" applyFont="1" applyFill="1" applyBorder="1" applyAlignment="1" applyProtection="1">
      <alignment horizontal="left"/>
    </xf>
    <xf numFmtId="0" fontId="63" fillId="0" borderId="9" xfId="0" applyFont="1" applyBorder="1" applyAlignment="1" applyProtection="1">
      <alignment wrapText="1"/>
    </xf>
    <xf numFmtId="0" fontId="63" fillId="0" borderId="10" xfId="0" applyFont="1" applyBorder="1" applyAlignment="1" applyProtection="1">
      <alignment wrapText="1"/>
    </xf>
    <xf numFmtId="0" fontId="62" fillId="0" borderId="9" xfId="0" applyFont="1" applyBorder="1" applyAlignment="1" applyProtection="1">
      <alignment wrapText="1"/>
    </xf>
    <xf numFmtId="0" fontId="90" fillId="17" borderId="6" xfId="0" applyFont="1" applyFill="1" applyBorder="1" applyAlignment="1" applyProtection="1">
      <alignment horizontal="right" indent="1"/>
      <protection locked="0"/>
    </xf>
    <xf numFmtId="0" fontId="0" fillId="17" borderId="32" xfId="0" applyFill="1" applyBorder="1" applyAlignment="1" applyProtection="1">
      <alignment horizontal="right" indent="1"/>
      <protection locked="0"/>
    </xf>
    <xf numFmtId="0" fontId="158" fillId="0" borderId="13" xfId="0" applyFont="1" applyBorder="1" applyAlignment="1" applyProtection="1">
      <alignment horizontal="center" readingOrder="1"/>
    </xf>
    <xf numFmtId="0" fontId="158" fillId="0" borderId="0" xfId="0" applyFont="1" applyBorder="1" applyAlignment="1" applyProtection="1">
      <alignment horizontal="center" readingOrder="1"/>
    </xf>
    <xf numFmtId="0" fontId="158" fillId="0" borderId="20" xfId="0" applyFont="1" applyBorder="1" applyAlignment="1" applyProtection="1">
      <alignment horizontal="center" readingOrder="1"/>
    </xf>
    <xf numFmtId="49" fontId="177" fillId="0" borderId="13" xfId="0" applyNumberFormat="1" applyFont="1" applyBorder="1" applyAlignment="1" applyProtection="1">
      <alignment horizontal="center" readingOrder="1"/>
    </xf>
    <xf numFmtId="0" fontId="177" fillId="0" borderId="0" xfId="0" applyFont="1" applyBorder="1" applyAlignment="1" applyProtection="1">
      <alignment horizontal="center" readingOrder="1"/>
    </xf>
    <xf numFmtId="0" fontId="177" fillId="0" borderId="20" xfId="0" applyFont="1" applyBorder="1" applyAlignment="1" applyProtection="1">
      <alignment horizontal="center" readingOrder="1"/>
    </xf>
    <xf numFmtId="0" fontId="40" fillId="0" borderId="0" xfId="0" applyFont="1" applyAlignment="1">
      <alignment horizontal="left" wrapText="1"/>
    </xf>
    <xf numFmtId="49" fontId="80" fillId="0" borderId="0" xfId="0" applyNumberFormat="1" applyFont="1" applyFill="1" applyBorder="1" applyAlignment="1" applyProtection="1">
      <alignment horizontal="center" vertical="center" wrapText="1"/>
    </xf>
    <xf numFmtId="0" fontId="147" fillId="0" borderId="17" xfId="0" applyFont="1" applyFill="1" applyBorder="1" applyAlignment="1" applyProtection="1">
      <alignment horizontal="center"/>
    </xf>
    <xf numFmtId="0" fontId="147" fillId="0" borderId="18" xfId="0" applyFont="1" applyFill="1" applyBorder="1" applyAlignment="1" applyProtection="1">
      <alignment horizontal="center"/>
    </xf>
    <xf numFmtId="0" fontId="147" fillId="0" borderId="19" xfId="0" applyFont="1" applyFill="1" applyBorder="1" applyAlignment="1" applyProtection="1">
      <alignment horizontal="center"/>
    </xf>
    <xf numFmtId="0" fontId="63" fillId="0" borderId="0" xfId="0" applyFont="1" applyFill="1" applyBorder="1" applyAlignment="1" applyProtection="1">
      <alignment horizontal="left" vertical="top" wrapText="1"/>
    </xf>
    <xf numFmtId="0" fontId="63" fillId="0" borderId="20" xfId="0" applyFont="1" applyFill="1" applyBorder="1" applyAlignment="1" applyProtection="1">
      <alignment horizontal="left" vertical="top" wrapText="1"/>
    </xf>
    <xf numFmtId="0" fontId="87" fillId="0" borderId="0" xfId="0" applyFont="1" applyFill="1" applyBorder="1" applyAlignment="1" applyProtection="1"/>
    <xf numFmtId="0" fontId="3" fillId="0" borderId="0" xfId="5" applyFont="1" applyAlignment="1">
      <alignment horizontal="left" wrapText="1" indent="2"/>
    </xf>
    <xf numFmtId="0" fontId="58" fillId="0" borderId="0" xfId="5" applyAlignment="1">
      <alignment wrapText="1"/>
    </xf>
    <xf numFmtId="0" fontId="90" fillId="0" borderId="0" xfId="5" applyFont="1"/>
    <xf numFmtId="0" fontId="3" fillId="0" borderId="0" xfId="5" applyFont="1" applyAlignment="1">
      <alignment horizontal="left" wrapText="1" indent="2"/>
    </xf>
    <xf numFmtId="0" fontId="15" fillId="0" borderId="0" xfId="2" applyFill="1" applyBorder="1" applyAlignment="1" applyProtection="1">
      <alignment wrapText="1"/>
    </xf>
    <xf numFmtId="0" fontId="15" fillId="0" borderId="0" xfId="2" applyFill="1" applyAlignment="1" applyProtection="1">
      <alignment wrapText="1"/>
    </xf>
    <xf numFmtId="0" fontId="39" fillId="0" borderId="0" xfId="5" applyFont="1" applyAlignment="1">
      <alignment horizontal="left" indent="1"/>
    </xf>
    <xf numFmtId="0" fontId="58" fillId="0" borderId="0" xfId="5" applyAlignment="1">
      <alignment horizontal="left" indent="1"/>
    </xf>
    <xf numFmtId="0" fontId="93" fillId="0" borderId="0" xfId="5" applyFont="1" applyAlignment="1">
      <alignment horizontal="left" vertical="top"/>
    </xf>
    <xf numFmtId="0" fontId="151" fillId="0" borderId="0" xfId="5" applyFont="1" applyAlignment="1">
      <alignment horizontal="left" wrapText="1"/>
    </xf>
    <xf numFmtId="0" fontId="58" fillId="0" borderId="0" xfId="5" applyAlignment="1">
      <alignment horizontal="left"/>
    </xf>
    <xf numFmtId="0" fontId="58" fillId="0" borderId="0" xfId="5" applyAlignment="1">
      <alignment horizontal="left" indent="1"/>
    </xf>
    <xf numFmtId="0" fontId="3" fillId="0" borderId="0" xfId="5" applyFont="1" applyAlignment="1">
      <alignment horizontal="left" wrapText="1"/>
    </xf>
    <xf numFmtId="0" fontId="0" fillId="0" borderId="0" xfId="0" applyAlignment="1"/>
    <xf numFmtId="0" fontId="0" fillId="0" borderId="0" xfId="0" applyFont="1" applyAlignment="1">
      <alignment horizontal="left" vertical="center" indent="2"/>
    </xf>
    <xf numFmtId="0" fontId="0" fillId="0" borderId="0" xfId="0" applyFont="1" applyAlignment="1">
      <alignment horizontal="left" indent="2"/>
    </xf>
    <xf numFmtId="0" fontId="0" fillId="0" borderId="0" xfId="0" applyAlignment="1">
      <alignment horizontal="left" wrapText="1" indent="2"/>
    </xf>
    <xf numFmtId="0" fontId="15" fillId="0" borderId="0" xfId="2" applyAlignment="1" applyProtection="1">
      <alignment horizontal="left" wrapText="1" indent="2"/>
    </xf>
  </cellXfs>
  <cellStyles count="83">
    <cellStyle name="Comma" xfId="81" builtinId="3"/>
    <cellStyle name="Currency" xfId="1" builtinId="4"/>
    <cellStyle name="Currency 2" xfId="7" xr:uid="{00000000-0005-0000-0000-000002000000}"/>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2" builtinId="9" hidden="1"/>
    <cellStyle name="Hyperlink" xfId="2" builtinId="8"/>
    <cellStyle name="Hyperlink 2 2" xfId="6" xr:uid="{00000000-0005-0000-0000-000047000000}"/>
    <cellStyle name="Normal" xfId="0" builtinId="0"/>
    <cellStyle name="Normal 2 2" xfId="5" xr:uid="{00000000-0005-0000-0000-000049000000}"/>
    <cellStyle name="Normal 3" xfId="3" xr:uid="{00000000-0005-0000-0000-00004A000000}"/>
    <cellStyle name="Normal 3 2" xfId="10" xr:uid="{00000000-0005-0000-0000-00004B000000}"/>
    <cellStyle name="Normal 4" xfId="4" xr:uid="{00000000-0005-0000-0000-00004C000000}"/>
    <cellStyle name="Normal 4 2" xfId="11" xr:uid="{00000000-0005-0000-0000-00004D000000}"/>
    <cellStyle name="Normal 5" xfId="8" xr:uid="{00000000-0005-0000-0000-00004E000000}"/>
    <cellStyle name="Normal 5 2" xfId="12" xr:uid="{00000000-0005-0000-0000-00004F000000}"/>
    <cellStyle name="Normal 6" xfId="9" xr:uid="{00000000-0005-0000-0000-000050000000}"/>
    <cellStyle name="Normal 6 2" xfId="13" xr:uid="{00000000-0005-0000-0000-000051000000}"/>
    <cellStyle name="Percent" xfId="80" builtinId="5"/>
  </cellStyles>
  <dxfs count="186">
    <dxf>
      <fill>
        <patternFill>
          <bgColor theme="0" tint="-0.34998626667073579"/>
        </patternFill>
      </fill>
    </dxf>
    <dxf>
      <fill>
        <patternFill>
          <bgColor rgb="FFFFCC00"/>
        </patternFill>
      </fill>
    </dxf>
    <dxf>
      <fill>
        <patternFill>
          <bgColor theme="9" tint="-0.499984740745262"/>
        </patternFill>
      </fill>
    </dxf>
    <dxf>
      <fill>
        <patternFill>
          <bgColor theme="0" tint="-0.14996795556505021"/>
        </patternFill>
      </fill>
    </dxf>
    <dxf>
      <fill>
        <patternFill>
          <bgColor rgb="FFFF0000"/>
        </patternFill>
      </fill>
    </dxf>
    <dxf>
      <fill>
        <patternFill>
          <bgColor theme="0" tint="-0.34998626667073579"/>
        </patternFill>
      </fill>
    </dxf>
    <dxf>
      <fill>
        <patternFill>
          <bgColor rgb="FFFFCC00"/>
        </patternFill>
      </fill>
    </dxf>
    <dxf>
      <fill>
        <patternFill>
          <bgColor theme="9" tint="-0.499984740745262"/>
        </patternFill>
      </fill>
    </dxf>
    <dxf>
      <fill>
        <patternFill>
          <bgColor theme="0" tint="-0.14996795556505021"/>
        </patternFill>
      </fill>
    </dxf>
    <dxf>
      <fill>
        <patternFill>
          <bgColor rgb="FFFF0000"/>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auto="1"/>
      </font>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theme="0" tint="-0.34998626667073579"/>
        </patternFill>
      </fill>
    </dxf>
    <dxf>
      <fill>
        <patternFill>
          <bgColor rgb="FFFFCC00"/>
        </patternFill>
      </fill>
    </dxf>
    <dxf>
      <fill>
        <patternFill>
          <bgColor theme="9" tint="-0.499984740745262"/>
        </patternFill>
      </fill>
    </dxf>
    <dxf>
      <fill>
        <patternFill>
          <bgColor theme="0" tint="-0.14996795556505021"/>
        </patternFill>
      </fill>
    </dxf>
    <dxf>
      <fill>
        <patternFill>
          <bgColor rgb="FFFF0000"/>
        </patternFill>
      </fill>
    </dxf>
    <dxf>
      <fill>
        <patternFill>
          <bgColor indexed="23"/>
        </patternFill>
      </fill>
    </dxf>
    <dxf>
      <fill>
        <patternFill>
          <bgColor indexed="51"/>
        </patternFill>
      </fill>
    </dxf>
    <dxf>
      <fill>
        <patternFill>
          <bgColor indexed="22"/>
        </patternFill>
      </fill>
    </dxf>
    <dxf>
      <fill>
        <patternFill>
          <bgColor indexed="60"/>
        </patternFill>
      </fill>
    </dxf>
    <dxf>
      <fill>
        <patternFill>
          <bgColor indexed="10"/>
        </patternFill>
      </fill>
    </dxf>
    <dxf>
      <fill>
        <patternFill>
          <bgColor indexed="51"/>
        </patternFill>
      </fill>
    </dxf>
    <dxf>
      <fill>
        <patternFill>
          <bgColor indexed="22"/>
        </patternFill>
      </fill>
    </dxf>
    <dxf>
      <fill>
        <patternFill>
          <bgColor indexed="60"/>
        </patternFill>
      </fill>
    </dxf>
    <dxf>
      <fill>
        <patternFill>
          <bgColor theme="0" tint="-0.34998626667073579"/>
        </patternFill>
      </fill>
    </dxf>
    <dxf>
      <fill>
        <patternFill>
          <bgColor rgb="FFFFCC00"/>
        </patternFill>
      </fill>
    </dxf>
    <dxf>
      <fill>
        <patternFill>
          <bgColor theme="9" tint="-0.499984740745262"/>
        </patternFill>
      </fill>
    </dxf>
    <dxf>
      <fill>
        <patternFill>
          <bgColor theme="0" tint="-0.14996795556505021"/>
        </patternFill>
      </fill>
    </dxf>
    <dxf>
      <fill>
        <patternFill>
          <bgColor rgb="FFFF0000"/>
        </patternFill>
      </fill>
    </dxf>
  </dxfs>
  <tableStyles count="0" defaultTableStyle="TableStyleMedium9" defaultPivotStyle="PivotStyleLight16"/>
  <colors>
    <mruColors>
      <color rgb="FFB0FAC6"/>
      <color rgb="FFFFFFCC"/>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hartsheet" Target="chartsheets/sheet2.xml"/><Relationship Id="rId7" Type="http://schemas.openxmlformats.org/officeDocument/2006/relationships/chartsheet" Target="chartsheets/sheet1.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theme" Target="theme/theme1.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652451773465001"/>
          <c:y val="3.4403708253866301E-2"/>
          <c:w val="0.75498680525897899"/>
          <c:h val="0.78211096763789201"/>
        </c:manualLayout>
      </c:layout>
      <c:barChart>
        <c:barDir val="bar"/>
        <c:grouping val="clustered"/>
        <c:varyColors val="0"/>
        <c:ser>
          <c:idx val="0"/>
          <c:order val="0"/>
          <c:tx>
            <c:v>Minimum</c:v>
          </c:tx>
          <c:spPr>
            <a:solidFill>
              <a:srgbClr val="CCFFCC"/>
            </a:solidFill>
            <a:ln w="12700">
              <a:solidFill>
                <a:srgbClr val="000000"/>
              </a:solidFill>
              <a:prstDash val="solid"/>
            </a:ln>
          </c:spPr>
          <c:invertIfNegative val="0"/>
          <c:dLbls>
            <c:spPr>
              <a:noFill/>
              <a:ln w="25400">
                <a:noFill/>
              </a:ln>
            </c:spPr>
            <c:txPr>
              <a:bodyPr/>
              <a:lstStyle/>
              <a:p>
                <a:pPr>
                  <a:defRPr sz="800" b="1"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'Progress JL'!$O$34:$O$42</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'Progress JL'!$P$34:$P$42</c:f>
              <c:numCache>
                <c:formatCode>General</c:formatCode>
                <c:ptCount val="9"/>
                <c:pt idx="0">
                  <c:v>30</c:v>
                </c:pt>
                <c:pt idx="1">
                  <c:v>15</c:v>
                </c:pt>
                <c:pt idx="2">
                  <c:v>0</c:v>
                </c:pt>
                <c:pt idx="3">
                  <c:v>5</c:v>
                </c:pt>
                <c:pt idx="4">
                  <c:v>15</c:v>
                </c:pt>
                <c:pt idx="5">
                  <c:v>10</c:v>
                </c:pt>
                <c:pt idx="6">
                  <c:v>5</c:v>
                </c:pt>
                <c:pt idx="7">
                  <c:v>0</c:v>
                </c:pt>
                <c:pt idx="8">
                  <c:v>106</c:v>
                </c:pt>
              </c:numCache>
            </c:numRef>
          </c:val>
          <c:extLst>
            <c:ext xmlns:c16="http://schemas.microsoft.com/office/drawing/2014/chart" uri="{C3380CC4-5D6E-409C-BE32-E72D297353CC}">
              <c16:uniqueId val="{00000000-B6BD-4A76-80EF-1C39C0E7912A}"/>
            </c:ext>
          </c:extLst>
        </c:ser>
        <c:ser>
          <c:idx val="1"/>
          <c:order val="1"/>
          <c:tx>
            <c:v>This home</c:v>
          </c:tx>
          <c:spPr>
            <a:solidFill>
              <a:srgbClr val="00FF00"/>
            </a:solidFill>
            <a:ln w="12700">
              <a:solidFill>
                <a:srgbClr val="000000"/>
              </a:solidFill>
              <a:prstDash val="solid"/>
            </a:ln>
          </c:spPr>
          <c:invertIfNegative val="0"/>
          <c:dLbls>
            <c:spPr>
              <a:noFill/>
              <a:ln w="25400">
                <a:noFill/>
              </a:ln>
            </c:spPr>
            <c:txPr>
              <a:bodyPr/>
              <a:lstStyle/>
              <a:p>
                <a:pPr>
                  <a:defRPr sz="875"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'Progress JL'!$O$34:$O$42</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'Progress JL'!$Q$34:$Q$42</c:f>
              <c:numCache>
                <c:formatCode>General</c:formatCode>
                <c:ptCount val="9"/>
                <c:pt idx="0">
                  <c:v>43</c:v>
                </c:pt>
                <c:pt idx="1">
                  <c:v>12</c:v>
                </c:pt>
                <c:pt idx="2">
                  <c:v>0</c:v>
                </c:pt>
                <c:pt idx="3">
                  <c:v>4</c:v>
                </c:pt>
                <c:pt idx="4">
                  <c:v>22</c:v>
                </c:pt>
                <c:pt idx="5">
                  <c:v>8</c:v>
                </c:pt>
                <c:pt idx="6">
                  <c:v>5</c:v>
                </c:pt>
                <c:pt idx="7">
                  <c:v>5</c:v>
                </c:pt>
                <c:pt idx="8">
                  <c:v>99</c:v>
                </c:pt>
              </c:numCache>
            </c:numRef>
          </c:val>
          <c:extLst>
            <c:ext xmlns:c16="http://schemas.microsoft.com/office/drawing/2014/chart" uri="{C3380CC4-5D6E-409C-BE32-E72D297353CC}">
              <c16:uniqueId val="{00000001-B6BD-4A76-80EF-1C39C0E7912A}"/>
            </c:ext>
          </c:extLst>
        </c:ser>
        <c:ser>
          <c:idx val="2"/>
          <c:order val="2"/>
          <c:tx>
            <c:v>Maximum</c:v>
          </c:tx>
          <c:spPr>
            <a:solidFill>
              <a:srgbClr val="008000"/>
            </a:solidFill>
            <a:ln w="12700">
              <a:solidFill>
                <a:srgbClr val="000000"/>
              </a:solidFill>
              <a:prstDash val="solid"/>
            </a:ln>
          </c:spPr>
          <c:invertIfNegative val="0"/>
          <c:dLbls>
            <c:spPr>
              <a:noFill/>
              <a:ln w="25400">
                <a:noFill/>
              </a:ln>
            </c:spPr>
            <c:txPr>
              <a:bodyPr/>
              <a:lstStyle/>
              <a:p>
                <a:pPr>
                  <a:defRPr sz="800" b="1" i="0" u="none" strike="noStrike" baseline="0">
                    <a:solidFill>
                      <a:srgbClr val="FFFFFF"/>
                    </a:solidFill>
                    <a:latin typeface="Arial"/>
                    <a:ea typeface="Arial"/>
                    <a:cs typeface="Aria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'Progress JL'!$O$34:$O$42</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'Progress JL'!$R$34:$R$42</c:f>
              <c:numCache>
                <c:formatCode>General</c:formatCode>
                <c:ptCount val="9"/>
                <c:pt idx="0">
                  <c:v>75</c:v>
                </c:pt>
                <c:pt idx="1">
                  <c:v>40</c:v>
                </c:pt>
                <c:pt idx="2">
                  <c:v>15</c:v>
                </c:pt>
                <c:pt idx="3">
                  <c:v>30</c:v>
                </c:pt>
                <c:pt idx="4">
                  <c:v>35</c:v>
                </c:pt>
                <c:pt idx="5">
                  <c:v>35</c:v>
                </c:pt>
                <c:pt idx="6">
                  <c:v>30</c:v>
                </c:pt>
                <c:pt idx="7">
                  <c:v>40</c:v>
                </c:pt>
                <c:pt idx="8">
                  <c:v>300</c:v>
                </c:pt>
              </c:numCache>
            </c:numRef>
          </c:val>
          <c:extLst>
            <c:ext xmlns:c16="http://schemas.microsoft.com/office/drawing/2014/chart" uri="{C3380CC4-5D6E-409C-BE32-E72D297353CC}">
              <c16:uniqueId val="{00000002-B6BD-4A76-80EF-1C39C0E7912A}"/>
            </c:ext>
          </c:extLst>
        </c:ser>
        <c:dLbls>
          <c:showLegendKey val="0"/>
          <c:showVal val="1"/>
          <c:showCatName val="0"/>
          <c:showSerName val="0"/>
          <c:showPercent val="0"/>
          <c:showBubbleSize val="0"/>
        </c:dLbls>
        <c:gapWidth val="60"/>
        <c:axId val="-344410912"/>
        <c:axId val="-344408864"/>
      </c:barChart>
      <c:catAx>
        <c:axId val="-3444109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44408864"/>
        <c:crosses val="autoZero"/>
        <c:auto val="1"/>
        <c:lblAlgn val="ctr"/>
        <c:lblOffset val="100"/>
        <c:tickLblSkip val="1"/>
        <c:tickMarkSkip val="1"/>
        <c:noMultiLvlLbl val="0"/>
      </c:catAx>
      <c:valAx>
        <c:axId val="-34440886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44410912"/>
        <c:crosses val="autoZero"/>
        <c:crossBetween val="between"/>
      </c:valAx>
      <c:spPr>
        <a:solidFill>
          <a:srgbClr val="FFFFFF"/>
        </a:solidFill>
        <a:ln w="12700">
          <a:solidFill>
            <a:srgbClr val="808080"/>
          </a:solidFill>
          <a:prstDash val="solid"/>
        </a:ln>
      </c:spPr>
    </c:plotArea>
    <c:legend>
      <c:legendPos val="r"/>
      <c:layout>
        <c:manualLayout>
          <c:xMode val="edge"/>
          <c:yMode val="edge"/>
          <c:x val="0.40942079703805301"/>
          <c:y val="0.92431290916221298"/>
          <c:w val="0.34299554946936001"/>
          <c:h val="6.4220110417232301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sz="1800" b="1" i="0" u="none" strike="noStrike" baseline="0">
                <a:solidFill>
                  <a:srgbClr val="000000"/>
                </a:solidFill>
                <a:latin typeface="Calibri"/>
                <a:ea typeface="Calibri"/>
                <a:cs typeface="Calibri"/>
              </a:defRPr>
            </a:pPr>
            <a:r>
              <a:rPr lang="en-US"/>
              <a:t>FGBC Green Home Certification Summary Chart</a:t>
            </a:r>
          </a:p>
        </c:rich>
      </c:tx>
      <c:overlay val="0"/>
    </c:title>
    <c:autoTitleDeleted val="0"/>
    <c:plotArea>
      <c:layout/>
      <c:barChart>
        <c:barDir val="bar"/>
        <c:grouping val="clustered"/>
        <c:varyColors val="0"/>
        <c:ser>
          <c:idx val="0"/>
          <c:order val="0"/>
          <c:tx>
            <c:strRef>
              <c:f>'3. Application'!$H$82</c:f>
              <c:strCache>
                <c:ptCount val="1"/>
                <c:pt idx="0">
                  <c:v>Minimum</c:v>
                </c:pt>
              </c:strCache>
            </c:strRef>
          </c:tx>
          <c:spPr>
            <a:solidFill>
              <a:schemeClr val="tx2">
                <a:lumMod val="40000"/>
                <a:lumOff val="60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Application'!$G$83:$G$91</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'3. Application'!$H$83:$H$91</c:f>
              <c:numCache>
                <c:formatCode>General</c:formatCode>
                <c:ptCount val="9"/>
                <c:pt idx="0">
                  <c:v>30</c:v>
                </c:pt>
                <c:pt idx="1">
                  <c:v>15</c:v>
                </c:pt>
                <c:pt idx="2">
                  <c:v>0</c:v>
                </c:pt>
                <c:pt idx="3">
                  <c:v>5</c:v>
                </c:pt>
                <c:pt idx="4">
                  <c:v>15</c:v>
                </c:pt>
                <c:pt idx="5">
                  <c:v>10</c:v>
                </c:pt>
                <c:pt idx="6">
                  <c:v>5</c:v>
                </c:pt>
                <c:pt idx="7">
                  <c:v>0</c:v>
                </c:pt>
                <c:pt idx="8">
                  <c:v>106</c:v>
                </c:pt>
              </c:numCache>
            </c:numRef>
          </c:val>
          <c:extLst>
            <c:ext xmlns:c16="http://schemas.microsoft.com/office/drawing/2014/chart" uri="{C3380CC4-5D6E-409C-BE32-E72D297353CC}">
              <c16:uniqueId val="{00000000-5B13-4187-B375-6EA2C41C2707}"/>
            </c:ext>
          </c:extLst>
        </c:ser>
        <c:ser>
          <c:idx val="1"/>
          <c:order val="1"/>
          <c:tx>
            <c:strRef>
              <c:f>'3. Application'!$I$82</c:f>
              <c:strCache>
                <c:ptCount val="1"/>
                <c:pt idx="0">
                  <c:v>This Home</c:v>
                </c:pt>
              </c:strCache>
            </c:strRef>
          </c:tx>
          <c:spPr>
            <a:solidFill>
              <a:schemeClr val="tx2">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Application'!$G$83:$G$91</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'3. Application'!$I$83:$I$91</c:f>
              <c:numCache>
                <c:formatCode>General</c:formatCode>
                <c:ptCount val="9"/>
                <c:pt idx="0">
                  <c:v>43</c:v>
                </c:pt>
                <c:pt idx="1">
                  <c:v>12</c:v>
                </c:pt>
                <c:pt idx="2">
                  <c:v>0</c:v>
                </c:pt>
                <c:pt idx="3">
                  <c:v>4</c:v>
                </c:pt>
                <c:pt idx="4">
                  <c:v>22</c:v>
                </c:pt>
                <c:pt idx="5">
                  <c:v>8</c:v>
                </c:pt>
                <c:pt idx="6">
                  <c:v>5</c:v>
                </c:pt>
                <c:pt idx="7">
                  <c:v>5</c:v>
                </c:pt>
                <c:pt idx="8">
                  <c:v>99</c:v>
                </c:pt>
              </c:numCache>
            </c:numRef>
          </c:val>
          <c:extLst>
            <c:ext xmlns:c16="http://schemas.microsoft.com/office/drawing/2014/chart" uri="{C3380CC4-5D6E-409C-BE32-E72D297353CC}">
              <c16:uniqueId val="{00000001-5B13-4187-B375-6EA2C41C2707}"/>
            </c:ext>
          </c:extLst>
        </c:ser>
        <c:ser>
          <c:idx val="2"/>
          <c:order val="2"/>
          <c:tx>
            <c:strRef>
              <c:f>'3. Application'!$J$82</c:f>
              <c:strCache>
                <c:ptCount val="1"/>
                <c:pt idx="0">
                  <c:v>Maximum</c:v>
                </c:pt>
              </c:strCache>
            </c:strRef>
          </c:tx>
          <c:spPr>
            <a:solidFill>
              <a:srgbClr val="008000"/>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Application'!$G$83:$G$91</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'3. Application'!$J$83:$J$91</c:f>
              <c:numCache>
                <c:formatCode>General</c:formatCode>
                <c:ptCount val="9"/>
                <c:pt idx="0">
                  <c:v>75</c:v>
                </c:pt>
                <c:pt idx="1">
                  <c:v>40</c:v>
                </c:pt>
                <c:pt idx="2">
                  <c:v>15</c:v>
                </c:pt>
                <c:pt idx="3">
                  <c:v>30</c:v>
                </c:pt>
                <c:pt idx="4">
                  <c:v>35</c:v>
                </c:pt>
                <c:pt idx="5">
                  <c:v>35</c:v>
                </c:pt>
                <c:pt idx="6">
                  <c:v>30</c:v>
                </c:pt>
                <c:pt idx="7">
                  <c:v>40</c:v>
                </c:pt>
                <c:pt idx="8">
                  <c:v>300</c:v>
                </c:pt>
              </c:numCache>
            </c:numRef>
          </c:val>
          <c:extLst>
            <c:ext xmlns:c16="http://schemas.microsoft.com/office/drawing/2014/chart" uri="{C3380CC4-5D6E-409C-BE32-E72D297353CC}">
              <c16:uniqueId val="{00000002-5B13-4187-B375-6EA2C41C2707}"/>
            </c:ext>
          </c:extLst>
        </c:ser>
        <c:dLbls>
          <c:showLegendKey val="0"/>
          <c:showVal val="1"/>
          <c:showCatName val="0"/>
          <c:showSerName val="0"/>
          <c:showPercent val="0"/>
          <c:showBubbleSize val="0"/>
        </c:dLbls>
        <c:gapWidth val="150"/>
        <c:overlap val="-25"/>
        <c:axId val="-381773152"/>
        <c:axId val="-381771792"/>
      </c:barChart>
      <c:catAx>
        <c:axId val="-381773152"/>
        <c:scaling>
          <c:orientation val="minMax"/>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1771792"/>
        <c:crosses val="autoZero"/>
        <c:auto val="1"/>
        <c:lblAlgn val="ctr"/>
        <c:lblOffset val="100"/>
        <c:noMultiLvlLbl val="0"/>
      </c:catAx>
      <c:valAx>
        <c:axId val="-381771792"/>
        <c:scaling>
          <c:orientation val="minMax"/>
        </c:scaling>
        <c:delete val="1"/>
        <c:axPos val="b"/>
        <c:numFmt formatCode="General" sourceLinked="1"/>
        <c:majorTickMark val="out"/>
        <c:minorTickMark val="none"/>
        <c:tickLblPos val="none"/>
        <c:crossAx val="-381773152"/>
        <c:crosses val="autoZero"/>
        <c:crossBetween val="between"/>
      </c:valAx>
    </c:plotArea>
    <c:legend>
      <c:legendPos val="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a:t>FGBC Green Existing Home Summary Chart</a:t>
            </a:r>
          </a:p>
        </c:rich>
      </c:tx>
      <c:overlay val="0"/>
    </c:title>
    <c:autoTitleDeleted val="0"/>
    <c:plotArea>
      <c:layout/>
      <c:barChart>
        <c:barDir val="bar"/>
        <c:grouping val="clustered"/>
        <c:varyColors val="0"/>
        <c:ser>
          <c:idx val="0"/>
          <c:order val="0"/>
          <c:tx>
            <c:strRef>
              <c:f>'15. Existing Home Application'!$H$85</c:f>
              <c:strCache>
                <c:ptCount val="1"/>
                <c:pt idx="0">
                  <c:v>15</c:v>
                </c:pt>
              </c:strCache>
            </c:strRef>
          </c:tx>
          <c:spPr>
            <a:solidFill>
              <a:schemeClr val="tx2">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 Existing Home Application'!$G$86:$G$94</c:f>
              <c:strCache>
                <c:ptCount val="7"/>
                <c:pt idx="0">
                  <c:v>Lot Choice</c:v>
                </c:pt>
                <c:pt idx="1">
                  <c:v>Site</c:v>
                </c:pt>
                <c:pt idx="2">
                  <c:v>Health</c:v>
                </c:pt>
                <c:pt idx="3">
                  <c:v>Materials</c:v>
                </c:pt>
                <c:pt idx="4">
                  <c:v>Disaster Mitigation</c:v>
                </c:pt>
                <c:pt idx="5">
                  <c:v>General</c:v>
                </c:pt>
                <c:pt idx="6">
                  <c:v>Total</c:v>
                </c:pt>
              </c:strCache>
            </c:strRef>
          </c:cat>
          <c:val>
            <c:numRef>
              <c:f>'15. Existing Home Application'!$H$86:$H$94</c:f>
              <c:numCache>
                <c:formatCode>General</c:formatCode>
                <c:ptCount val="9"/>
                <c:pt idx="0">
                  <c:v>0</c:v>
                </c:pt>
                <c:pt idx="1">
                  <c:v>5</c:v>
                </c:pt>
                <c:pt idx="2">
                  <c:v>15</c:v>
                </c:pt>
                <c:pt idx="3">
                  <c:v>10</c:v>
                </c:pt>
                <c:pt idx="4">
                  <c:v>5</c:v>
                </c:pt>
                <c:pt idx="5">
                  <c:v>0</c:v>
                </c:pt>
                <c:pt idx="6">
                  <c:v>100</c:v>
                </c:pt>
              </c:numCache>
            </c:numRef>
          </c:val>
          <c:extLst>
            <c:ext xmlns:c16="http://schemas.microsoft.com/office/drawing/2014/chart" uri="{C3380CC4-5D6E-409C-BE32-E72D297353CC}">
              <c16:uniqueId val="{00000000-8C2A-489B-B85F-9155436B3672}"/>
            </c:ext>
          </c:extLst>
        </c:ser>
        <c:ser>
          <c:idx val="1"/>
          <c:order val="1"/>
          <c:tx>
            <c:strRef>
              <c:f>'15. Existing Home Application'!$I$85</c:f>
              <c:strCache>
                <c:ptCount val="1"/>
                <c:pt idx="0">
                  <c:v>12</c:v>
                </c:pt>
              </c:strCache>
            </c:strRef>
          </c:tx>
          <c:spPr>
            <a:solidFill>
              <a:srgbClr val="00206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 Existing Home Application'!$G$86:$G$94</c:f>
              <c:strCache>
                <c:ptCount val="7"/>
                <c:pt idx="0">
                  <c:v>Lot Choice</c:v>
                </c:pt>
                <c:pt idx="1">
                  <c:v>Site</c:v>
                </c:pt>
                <c:pt idx="2">
                  <c:v>Health</c:v>
                </c:pt>
                <c:pt idx="3">
                  <c:v>Materials</c:v>
                </c:pt>
                <c:pt idx="4">
                  <c:v>Disaster Mitigation</c:v>
                </c:pt>
                <c:pt idx="5">
                  <c:v>General</c:v>
                </c:pt>
                <c:pt idx="6">
                  <c:v>Total</c:v>
                </c:pt>
              </c:strCache>
            </c:strRef>
          </c:cat>
          <c:val>
            <c:numRef>
              <c:f>'15. Existing Home Application'!$I$86:$I$94</c:f>
              <c:numCache>
                <c:formatCode>General</c:formatCode>
                <c:ptCount val="9"/>
                <c:pt idx="0">
                  <c:v>0</c:v>
                </c:pt>
                <c:pt idx="1">
                  <c:v>4</c:v>
                </c:pt>
                <c:pt idx="2">
                  <c:v>22</c:v>
                </c:pt>
                <c:pt idx="3">
                  <c:v>8</c:v>
                </c:pt>
                <c:pt idx="4">
                  <c:v>5</c:v>
                </c:pt>
                <c:pt idx="5">
                  <c:v>5</c:v>
                </c:pt>
                <c:pt idx="6">
                  <c:v>99</c:v>
                </c:pt>
              </c:numCache>
            </c:numRef>
          </c:val>
          <c:extLst>
            <c:ext xmlns:c16="http://schemas.microsoft.com/office/drawing/2014/chart" uri="{C3380CC4-5D6E-409C-BE32-E72D297353CC}">
              <c16:uniqueId val="{00000001-8C2A-489B-B85F-9155436B3672}"/>
            </c:ext>
          </c:extLst>
        </c:ser>
        <c:ser>
          <c:idx val="2"/>
          <c:order val="2"/>
          <c:tx>
            <c:strRef>
              <c:f>'15. Existing Home Application'!$J$85</c:f>
              <c:strCache>
                <c:ptCount val="1"/>
                <c:pt idx="0">
                  <c:v>40</c:v>
                </c:pt>
              </c:strCache>
            </c:strRef>
          </c:tx>
          <c:spPr>
            <a:solidFill>
              <a:srgbClr val="0066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 Existing Home Application'!$G$86:$G$94</c:f>
              <c:strCache>
                <c:ptCount val="7"/>
                <c:pt idx="0">
                  <c:v>Lot Choice</c:v>
                </c:pt>
                <c:pt idx="1">
                  <c:v>Site</c:v>
                </c:pt>
                <c:pt idx="2">
                  <c:v>Health</c:v>
                </c:pt>
                <c:pt idx="3">
                  <c:v>Materials</c:v>
                </c:pt>
                <c:pt idx="4">
                  <c:v>Disaster Mitigation</c:v>
                </c:pt>
                <c:pt idx="5">
                  <c:v>General</c:v>
                </c:pt>
                <c:pt idx="6">
                  <c:v>Total</c:v>
                </c:pt>
              </c:strCache>
            </c:strRef>
          </c:cat>
          <c:val>
            <c:numRef>
              <c:f>'15. Existing Home Application'!$J$86:$J$94</c:f>
              <c:numCache>
                <c:formatCode>General</c:formatCode>
                <c:ptCount val="9"/>
                <c:pt idx="0">
                  <c:v>15</c:v>
                </c:pt>
                <c:pt idx="1">
                  <c:v>30</c:v>
                </c:pt>
                <c:pt idx="2">
                  <c:v>35</c:v>
                </c:pt>
                <c:pt idx="3">
                  <c:v>35</c:v>
                </c:pt>
                <c:pt idx="4">
                  <c:v>30</c:v>
                </c:pt>
                <c:pt idx="5">
                  <c:v>40</c:v>
                </c:pt>
                <c:pt idx="6">
                  <c:v>300</c:v>
                </c:pt>
              </c:numCache>
            </c:numRef>
          </c:val>
          <c:extLst>
            <c:ext xmlns:c16="http://schemas.microsoft.com/office/drawing/2014/chart" uri="{C3380CC4-5D6E-409C-BE32-E72D297353CC}">
              <c16:uniqueId val="{00000002-8C2A-489B-B85F-9155436B3672}"/>
            </c:ext>
          </c:extLst>
        </c:ser>
        <c:dLbls>
          <c:showLegendKey val="0"/>
          <c:showVal val="1"/>
          <c:showCatName val="0"/>
          <c:showSerName val="0"/>
          <c:showPercent val="0"/>
          <c:showBubbleSize val="0"/>
        </c:dLbls>
        <c:gapWidth val="150"/>
        <c:overlap val="-30"/>
        <c:axId val="-346473584"/>
        <c:axId val="-346471536"/>
      </c:barChart>
      <c:catAx>
        <c:axId val="-346473584"/>
        <c:scaling>
          <c:orientation val="minMax"/>
        </c:scaling>
        <c:delete val="0"/>
        <c:axPos val="l"/>
        <c:numFmt formatCode="General" sourceLinked="0"/>
        <c:majorTickMark val="out"/>
        <c:minorTickMark val="none"/>
        <c:tickLblPos val="nextTo"/>
        <c:crossAx val="-346471536"/>
        <c:crosses val="autoZero"/>
        <c:auto val="1"/>
        <c:lblAlgn val="ctr"/>
        <c:lblOffset val="100"/>
        <c:noMultiLvlLbl val="0"/>
      </c:catAx>
      <c:valAx>
        <c:axId val="-346471536"/>
        <c:scaling>
          <c:orientation val="minMax"/>
        </c:scaling>
        <c:delete val="0"/>
        <c:axPos val="b"/>
        <c:numFmt formatCode="General" sourceLinked="1"/>
        <c:majorTickMark val="out"/>
        <c:minorTickMark val="none"/>
        <c:tickLblPos val="nextTo"/>
        <c:crossAx val="-346473584"/>
        <c:crosses val="autoZero"/>
        <c:crossBetween val="between"/>
      </c:valAx>
      <c:spPr>
        <a:noFill/>
        <a:ln w="25400">
          <a:noFill/>
        </a:ln>
      </c:spPr>
    </c:plotArea>
    <c:legend>
      <c:legendPos val="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8.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sheetViews>
    <sheetView workbookViewId="0"/>
  </sheetViews>
  <sheetProtection algorithmName="SHA-512" hashValue="TgUsi+UEXsjCTN0trwFKuZPJSt9I3VGAjdmls9q6WqD5cee8glvklxu9zd4ry0GlSExfyJ7kh2AqElCBB+FAjA==" saltValue="rBHKwvMyy6K+ddVmUzYOrA==" spinCount="100000" content="1" objects="1"/>
  <pageMargins left="0.7" right="0.7" top="0.75" bottom="0.75" header="0.3" footer="0.3"/>
  <pageSetup orientation="landscape" r:id="rId1"/>
  <headerFooter>
    <oddFooter>&amp;C&amp;G</oddFooter>
  </headerFooter>
  <drawing r:id="rId2"/>
  <legacyDrawingHF r:id="rId3"/>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sheetViews>
    <sheetView zoomScale="269" workbookViewId="0" zoomToFit="1"/>
  </sheetViews>
  <sheetProtection content="1" objects="1"/>
  <pageMargins left="0.7" right="0.7" top="0.75" bottom="0.75" header="0.3" footer="0.3"/>
  <drawing r:id="rId1"/>
</chartsheet>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4991101</xdr:colOff>
      <xdr:row>25</xdr:row>
      <xdr:rowOff>38100</xdr:rowOff>
    </xdr:from>
    <xdr:to>
      <xdr:col>1</xdr:col>
      <xdr:colOff>7943851</xdr:colOff>
      <xdr:row>33</xdr:row>
      <xdr:rowOff>28575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876926" y="9115425"/>
          <a:ext cx="2952750" cy="167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1100" b="0" i="0" u="sng" strike="noStrike">
            <a:solidFill>
              <a:schemeClr val="dk1"/>
            </a:solidFill>
            <a:latin typeface="+mn-lt"/>
            <a:ea typeface="+mn-ea"/>
            <a:cs typeface="+mn-cs"/>
          </a:endParaRPr>
        </a:p>
        <a:p>
          <a:pPr algn="ctr"/>
          <a:r>
            <a:rPr lang="en-US" sz="1100" b="0" i="0" u="sng" strike="noStrike">
              <a:solidFill>
                <a:schemeClr val="dk1"/>
              </a:solidFill>
              <a:latin typeface="+mn-lt"/>
              <a:ea typeface="+mn-ea"/>
              <a:cs typeface="+mn-cs"/>
            </a:rPr>
            <a:t>For Additional Information:</a:t>
          </a:r>
          <a:r>
            <a:rPr lang="en-US"/>
            <a:t> </a:t>
          </a:r>
        </a:p>
        <a:p>
          <a:pPr algn="ctr"/>
          <a:r>
            <a:rPr lang="en-US" sz="1100" b="0" i="0" u="none" strike="noStrike">
              <a:solidFill>
                <a:schemeClr val="dk1"/>
              </a:solidFill>
              <a:latin typeface="+mn-lt"/>
              <a:ea typeface="+mn-ea"/>
              <a:cs typeface="+mn-cs"/>
            </a:rPr>
            <a:t>Contact your Certifying Agent</a:t>
          </a:r>
          <a:r>
            <a:rPr lang="en-US"/>
            <a:t> </a:t>
          </a:r>
        </a:p>
        <a:p>
          <a:pPr algn="ctr"/>
          <a:r>
            <a:rPr lang="en-US" sz="1100" b="0" i="0" u="none" strike="noStrike">
              <a:solidFill>
                <a:schemeClr val="dk1"/>
              </a:solidFill>
              <a:latin typeface="+mn-lt"/>
              <a:ea typeface="+mn-ea"/>
              <a:cs typeface="+mn-cs"/>
            </a:rPr>
            <a:t>or</a:t>
          </a:r>
          <a:r>
            <a:rPr lang="en-US"/>
            <a:t> </a:t>
          </a:r>
        </a:p>
        <a:p>
          <a:pPr algn="ctr"/>
          <a:r>
            <a:rPr lang="en-US" sz="1100" b="0" i="0" u="none" strike="noStrike">
              <a:solidFill>
                <a:schemeClr val="dk1"/>
              </a:solidFill>
              <a:latin typeface="+mn-lt"/>
              <a:ea typeface="+mn-ea"/>
              <a:cs typeface="+mn-cs"/>
            </a:rPr>
            <a:t>Contact FGBC:</a:t>
          </a:r>
          <a:r>
            <a:rPr lang="en-US"/>
            <a:t> </a:t>
          </a:r>
          <a:r>
            <a:rPr lang="en-US" sz="1100" b="0" i="0" u="sng" strike="noStrike">
              <a:solidFill>
                <a:schemeClr val="dk1"/>
              </a:solidFill>
              <a:latin typeface="+mn-lt"/>
              <a:ea typeface="+mn-ea"/>
              <a:cs typeface="+mn-cs"/>
            </a:rPr>
            <a:t>www.FloridaGreenBuilding.org</a:t>
          </a:r>
          <a:r>
            <a:rPr lang="en-US"/>
            <a:t> </a:t>
          </a:r>
        </a:p>
        <a:p>
          <a:pPr algn="ctr"/>
          <a:r>
            <a:rPr lang="en-US"/>
            <a:t>PH: 407-777-4914</a:t>
          </a:r>
        </a:p>
        <a:p>
          <a:pPr algn="ctr"/>
          <a:r>
            <a:rPr lang="en-US" sz="1100" b="0" i="0" u="none" strike="noStrike">
              <a:solidFill>
                <a:schemeClr val="dk1"/>
              </a:solidFill>
              <a:latin typeface="+mn-lt"/>
              <a:ea typeface="+mn-ea"/>
              <a:cs typeface="+mn-cs"/>
            </a:rPr>
            <a:t>Email: info@FloridaGreenBuilding.org</a:t>
          </a:r>
          <a:r>
            <a:rPr lang="en-US"/>
            <a:t>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xdr:colOff>
      <xdr:row>0</xdr:row>
      <xdr:rowOff>9525</xdr:rowOff>
    </xdr:from>
    <xdr:to>
      <xdr:col>5</xdr:col>
      <xdr:colOff>409575</xdr:colOff>
      <xdr:row>3</xdr:row>
      <xdr:rowOff>95250</xdr:rowOff>
    </xdr:to>
    <xdr:pic>
      <xdr:nvPicPr>
        <xdr:cNvPr id="62467" name="Picture 3" descr="FGBC Logo Horizontal 288x69 lo-res.jpg">
          <a:extLst>
            <a:ext uri="{FF2B5EF4-FFF2-40B4-BE49-F238E27FC236}">
              <a16:creationId xmlns:a16="http://schemas.microsoft.com/office/drawing/2014/main" id="{00000000-0008-0000-0100-000003F40000}"/>
            </a:ext>
          </a:extLst>
        </xdr:cNvPr>
        <xdr:cNvPicPr>
          <a:picLocks noChangeAspect="1"/>
        </xdr:cNvPicPr>
      </xdr:nvPicPr>
      <xdr:blipFill>
        <a:blip xmlns:r="http://schemas.openxmlformats.org/officeDocument/2006/relationships" r:embed="rId1" cstate="print"/>
        <a:srcRect/>
        <a:stretch>
          <a:fillRect/>
        </a:stretch>
      </xdr:blipFill>
      <xdr:spPr bwMode="auto">
        <a:xfrm>
          <a:off x="1457325" y="9525"/>
          <a:ext cx="2676525" cy="6572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409575</xdr:colOff>
      <xdr:row>384</xdr:row>
      <xdr:rowOff>95250</xdr:rowOff>
    </xdr:from>
    <xdr:to>
      <xdr:col>5</xdr:col>
      <xdr:colOff>685800</xdr:colOff>
      <xdr:row>385</xdr:row>
      <xdr:rowOff>152400</xdr:rowOff>
    </xdr:to>
    <xdr:pic>
      <xdr:nvPicPr>
        <xdr:cNvPr id="63491" name="Picture 332" descr="FGBC Logo Earth Only 1x 100dpi">
          <a:extLst>
            <a:ext uri="{FF2B5EF4-FFF2-40B4-BE49-F238E27FC236}">
              <a16:creationId xmlns:a16="http://schemas.microsoft.com/office/drawing/2014/main" id="{00000000-0008-0000-0200-000003F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57575" y="73447275"/>
          <a:ext cx="276225" cy="2476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25</xdr:row>
      <xdr:rowOff>66675</xdr:rowOff>
    </xdr:from>
    <xdr:to>
      <xdr:col>11</xdr:col>
      <xdr:colOff>152400</xdr:colOff>
      <xdr:row>47</xdr:row>
      <xdr:rowOff>19050</xdr:rowOff>
    </xdr:to>
    <xdr:graphicFrame macro="">
      <xdr:nvGraphicFramePr>
        <xdr:cNvPr id="64515" name="Chart 40">
          <a:extLst>
            <a:ext uri="{FF2B5EF4-FFF2-40B4-BE49-F238E27FC236}">
              <a16:creationId xmlns:a16="http://schemas.microsoft.com/office/drawing/2014/main" id="{00000000-0008-0000-0300-000003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2401405</xdr:colOff>
      <xdr:row>2</xdr:row>
      <xdr:rowOff>51904</xdr:rowOff>
    </xdr:from>
    <xdr:to>
      <xdr:col>6</xdr:col>
      <xdr:colOff>3694047</xdr:colOff>
      <xdr:row>4</xdr:row>
      <xdr:rowOff>66583</xdr:rowOff>
    </xdr:to>
    <xdr:pic>
      <xdr:nvPicPr>
        <xdr:cNvPr id="2" name="Picture 1" descr="Department of Economic Opportunity releases COVID-19 Reemployment ...">
          <a:extLst>
            <a:ext uri="{FF2B5EF4-FFF2-40B4-BE49-F238E27FC236}">
              <a16:creationId xmlns:a16="http://schemas.microsoft.com/office/drawing/2014/main" id="{3E073DF1-B53F-2646-97F9-B71E9EF235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02883" y="570947"/>
          <a:ext cx="1292642" cy="853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113282</xdr:colOff>
      <xdr:row>2</xdr:row>
      <xdr:rowOff>143566</xdr:rowOff>
    </xdr:from>
    <xdr:to>
      <xdr:col>4</xdr:col>
      <xdr:colOff>107673</xdr:colOff>
      <xdr:row>3</xdr:row>
      <xdr:rowOff>428487</xdr:rowOff>
    </xdr:to>
    <xdr:pic>
      <xdr:nvPicPr>
        <xdr:cNvPr id="3" name="Picture 2" descr="Finalists Announced for Florida Green Building Coalition Awards - FHBA">
          <a:extLst>
            <a:ext uri="{FF2B5EF4-FFF2-40B4-BE49-F238E27FC236}">
              <a16:creationId xmlns:a16="http://schemas.microsoft.com/office/drawing/2014/main" id="{B170612E-0E5D-2949-9C70-5FB5B7FBB7A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3384" b="18901"/>
        <a:stretch/>
      </xdr:blipFill>
      <xdr:spPr bwMode="auto">
        <a:xfrm>
          <a:off x="1283891" y="662609"/>
          <a:ext cx="1253347" cy="594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absoluteAnchor>
    <xdr:pos x="0" y="0"/>
    <xdr:ext cx="8674100" cy="6286500"/>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1</xdr:col>
      <xdr:colOff>9525</xdr:colOff>
      <xdr:row>56</xdr:row>
      <xdr:rowOff>28576</xdr:rowOff>
    </xdr:from>
    <xdr:to>
      <xdr:col>4</xdr:col>
      <xdr:colOff>2724150</xdr:colOff>
      <xdr:row>65</xdr:row>
      <xdr:rowOff>12192</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399669" y="10282048"/>
          <a:ext cx="4287393" cy="1629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NOTE ABOUT ENERGY</a:t>
          </a:r>
        </a:p>
        <a:p>
          <a:r>
            <a:rPr lang="en-US" sz="1100"/>
            <a:t>As you review the FGBC Green Home Standard you may wonder why many energy saving features do not appear as line items. The FGBC has elected to use a whole-house, performance-based energy rating for points versus offering an exhaustive list of prescriptive energy saving alternatives. The performance-based Energy Rating is called a HERS Index. For information purposes the adjacent chart lists many of the inputs used to calculate a home's HERS Index.</a:t>
          </a:r>
        </a:p>
      </xdr:txBody>
    </xdr:sp>
    <xdr:clientData/>
  </xdr:twoCellAnchor>
  <xdr:twoCellAnchor editAs="oneCell">
    <xdr:from>
      <xdr:col>4</xdr:col>
      <xdr:colOff>2952251</xdr:colOff>
      <xdr:row>54</xdr:row>
      <xdr:rowOff>146050</xdr:rowOff>
    </xdr:from>
    <xdr:to>
      <xdr:col>5</xdr:col>
      <xdr:colOff>2075181</xdr:colOff>
      <xdr:row>76</xdr:row>
      <xdr:rowOff>16510</xdr:rowOff>
    </xdr:to>
    <xdr:pic>
      <xdr:nvPicPr>
        <xdr:cNvPr id="3" name="Picture 11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56971" y="10052050"/>
          <a:ext cx="5088120" cy="388810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absoluteAnchor>
    <xdr:pos x="0" y="0"/>
    <xdr:ext cx="8568959" cy="5825948"/>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florida-green-building-coalition.myshopify.com/" TargetMode="External"/><Relationship Id="rId1" Type="http://schemas.openxmlformats.org/officeDocument/2006/relationships/hyperlink" Target="https://buildertrend.net/"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vmlDrawing" Target="../drawings/vmlDrawing14.v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vmlDrawing" Target="../drawings/vmlDrawing16.v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vmlDrawing" Target="../drawings/vmlDrawing20.v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vmlDrawing" Target="../drawings/vmlDrawing22.v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florida-green-building-coalition.myshopify.com/" TargetMode="External"/><Relationship Id="rId1" Type="http://schemas.openxmlformats.org/officeDocument/2006/relationships/hyperlink" Target="https://dropbox.hightail.com/certifications" TargetMode="External"/><Relationship Id="rId4" Type="http://schemas.openxmlformats.org/officeDocument/2006/relationships/vmlDrawing" Target="../drawings/vmlDrawing24.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27.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florida-green-building-coalition.myshopify.com/" TargetMode="External"/><Relationship Id="rId1" Type="http://schemas.openxmlformats.org/officeDocument/2006/relationships/hyperlink" Target="https://dropbox.hightail.com/certifications" TargetMode="Externa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florida-green-building-coalition.myshopify.com/" TargetMode="External"/><Relationship Id="rId7" Type="http://schemas.openxmlformats.org/officeDocument/2006/relationships/comments" Target="../comments1.xml"/><Relationship Id="rId2" Type="http://schemas.openxmlformats.org/officeDocument/2006/relationships/hyperlink" Target="https://buildertrend.net/" TargetMode="External"/><Relationship Id="rId1" Type="http://schemas.openxmlformats.org/officeDocument/2006/relationships/hyperlink" Target="http://florida-green-building-coalition.myshopify.com/" TargetMode="External"/><Relationship Id="rId6" Type="http://schemas.openxmlformats.org/officeDocument/2006/relationships/vmlDrawing" Target="../drawings/vmlDrawing3.vml"/><Relationship Id="rId5" Type="http://schemas.openxmlformats.org/officeDocument/2006/relationships/vmlDrawing" Target="../drawings/vmlDrawing2.vml"/><Relationship Id="rId4"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3.xm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62"/>
  <sheetViews>
    <sheetView workbookViewId="0">
      <selection activeCell="A19" sqref="A19:C19"/>
    </sheetView>
  </sheetViews>
  <sheetFormatPr baseColWidth="10" defaultColWidth="8.6640625" defaultRowHeight="14" x14ac:dyDescent="0.15"/>
  <cols>
    <col min="1" max="1" width="14.1640625" style="367" customWidth="1"/>
    <col min="2" max="2" width="119.5" style="367" bestFit="1" customWidth="1"/>
    <col min="3" max="3" width="13.33203125" style="367" customWidth="1"/>
    <col min="4" max="4" width="22.1640625" style="367" customWidth="1"/>
    <col min="5" max="5" width="23.6640625" style="367" customWidth="1"/>
    <col min="6" max="9" width="8.6640625" style="367"/>
    <col min="10" max="10" width="16.6640625" style="367" customWidth="1"/>
    <col min="11" max="16384" width="8.6640625" style="367"/>
  </cols>
  <sheetData>
    <row r="1" spans="1:14" s="677" customFormat="1" ht="25" x14ac:dyDescent="0.25">
      <c r="B1" s="678" t="s">
        <v>521</v>
      </c>
      <c r="C1" s="679"/>
      <c r="D1" s="679"/>
      <c r="E1" s="679"/>
    </row>
    <row r="2" spans="1:14" s="677" customFormat="1" ht="25" x14ac:dyDescent="0.25">
      <c r="B2" s="1227" t="s">
        <v>1288</v>
      </c>
      <c r="D2" s="680"/>
      <c r="E2" s="680"/>
      <c r="F2" s="680"/>
      <c r="G2" s="680"/>
      <c r="H2" s="680"/>
      <c r="I2" s="680"/>
    </row>
    <row r="3" spans="1:14" s="677" customFormat="1" ht="21" customHeight="1" x14ac:dyDescent="0.25">
      <c r="B3" s="1004" t="s">
        <v>1009</v>
      </c>
      <c r="D3" s="680"/>
      <c r="E3" s="680"/>
      <c r="F3" s="680"/>
      <c r="G3" s="680"/>
      <c r="H3" s="680"/>
      <c r="I3" s="680"/>
    </row>
    <row r="4" spans="1:14" ht="14.25" customHeight="1" x14ac:dyDescent="0.15">
      <c r="B4" s="1003" t="s">
        <v>1289</v>
      </c>
      <c r="D4" s="663"/>
      <c r="E4" s="663"/>
    </row>
    <row r="5" spans="1:14" ht="14.25" customHeight="1" x14ac:dyDescent="0.15">
      <c r="A5" s="661"/>
      <c r="B5" s="1198" t="s">
        <v>1447</v>
      </c>
      <c r="D5" s="661"/>
      <c r="E5" s="661"/>
    </row>
    <row r="6" spans="1:14" ht="14.25" customHeight="1" x14ac:dyDescent="0.15">
      <c r="A6" s="661"/>
      <c r="B6" s="662"/>
      <c r="D6" s="661"/>
      <c r="E6" s="661"/>
    </row>
    <row r="7" spans="1:14" ht="27.75" customHeight="1" x14ac:dyDescent="0.2">
      <c r="A7" s="991" t="s">
        <v>1003</v>
      </c>
      <c r="B7" s="662"/>
      <c r="D7" s="661"/>
      <c r="E7" s="661"/>
    </row>
    <row r="8" spans="1:14" ht="24" customHeight="1" x14ac:dyDescent="0.2">
      <c r="A8" s="398" t="s">
        <v>517</v>
      </c>
      <c r="B8" s="399"/>
      <c r="C8" s="399"/>
      <c r="D8" s="399"/>
      <c r="E8" s="399"/>
    </row>
    <row r="9" spans="1:14" s="994" customFormat="1" ht="45.75" customHeight="1" x14ac:dyDescent="0.2">
      <c r="A9" s="1335" t="s">
        <v>544</v>
      </c>
      <c r="B9" s="1335"/>
      <c r="C9" s="1335"/>
      <c r="D9" s="992"/>
      <c r="E9" s="992"/>
      <c r="F9" s="993"/>
      <c r="G9" s="993"/>
      <c r="H9" s="993"/>
      <c r="I9" s="993"/>
    </row>
    <row r="10" spans="1:14" s="994" customFormat="1" ht="68.25" customHeight="1" x14ac:dyDescent="0.2">
      <c r="A10" s="1336" t="s">
        <v>1005</v>
      </c>
      <c r="B10" s="1336"/>
      <c r="C10" s="1336"/>
      <c r="D10" s="995"/>
      <c r="E10" s="995"/>
      <c r="F10" s="993"/>
      <c r="G10" s="993"/>
      <c r="H10" s="996"/>
      <c r="I10" s="993"/>
    </row>
    <row r="11" spans="1:14" ht="24" customHeight="1" x14ac:dyDescent="0.2">
      <c r="A11" s="398" t="s">
        <v>518</v>
      </c>
      <c r="F11" s="400"/>
      <c r="G11" s="400"/>
      <c r="H11" s="400"/>
      <c r="I11" s="400"/>
    </row>
    <row r="12" spans="1:14" s="994" customFormat="1" ht="135.75" customHeight="1" x14ac:dyDescent="0.2">
      <c r="A12" s="1337" t="s">
        <v>1004</v>
      </c>
      <c r="B12" s="1337"/>
      <c r="C12" s="1337"/>
      <c r="D12" s="1000"/>
      <c r="E12" s="1000"/>
      <c r="F12" s="993"/>
      <c r="G12" s="993"/>
      <c r="H12" s="1001"/>
      <c r="I12" s="1001"/>
      <c r="J12" s="1002"/>
      <c r="K12" s="1002"/>
      <c r="L12" s="1002"/>
      <c r="M12" s="1002"/>
      <c r="N12" s="1002"/>
    </row>
    <row r="13" spans="1:14" ht="24" customHeight="1" x14ac:dyDescent="0.2">
      <c r="A13" s="398" t="s">
        <v>873</v>
      </c>
      <c r="B13" s="399"/>
      <c r="C13" s="399"/>
      <c r="D13" s="666"/>
      <c r="E13" s="666"/>
      <c r="F13" s="400"/>
      <c r="G13" s="400"/>
      <c r="H13" s="401"/>
      <c r="I13" s="401"/>
      <c r="J13" s="309"/>
      <c r="K13" s="309"/>
      <c r="L13" s="309"/>
      <c r="M13" s="309"/>
      <c r="N13" s="309"/>
    </row>
    <row r="14" spans="1:14" ht="74" customHeight="1" x14ac:dyDescent="0.15">
      <c r="A14" s="1335" t="s">
        <v>1448</v>
      </c>
      <c r="B14" s="1337"/>
      <c r="C14" s="1337"/>
      <c r="D14" s="666"/>
      <c r="E14" s="666"/>
      <c r="F14" s="400"/>
      <c r="G14" s="400"/>
      <c r="H14" s="401"/>
      <c r="I14" s="401"/>
      <c r="J14" s="309"/>
      <c r="K14" s="309"/>
      <c r="L14" s="309"/>
      <c r="M14" s="309"/>
      <c r="N14" s="309"/>
    </row>
    <row r="15" spans="1:14" s="405" customFormat="1" ht="24" customHeight="1" x14ac:dyDescent="0.15">
      <c r="A15" s="402" t="s">
        <v>545</v>
      </c>
      <c r="B15" s="403"/>
      <c r="C15" s="403"/>
      <c r="D15" s="403"/>
      <c r="E15" s="403"/>
      <c r="F15" s="404"/>
      <c r="G15" s="404"/>
      <c r="H15" s="404"/>
      <c r="I15" s="404"/>
      <c r="J15" s="404"/>
      <c r="K15" s="404"/>
      <c r="L15" s="404"/>
      <c r="M15" s="404"/>
      <c r="N15" s="404"/>
    </row>
    <row r="16" spans="1:14" s="999" customFormat="1" ht="30.75" customHeight="1" x14ac:dyDescent="0.2">
      <c r="A16" s="1335" t="s">
        <v>1006</v>
      </c>
      <c r="B16" s="1335"/>
      <c r="C16" s="1335"/>
      <c r="D16" s="997"/>
      <c r="E16" s="997"/>
      <c r="F16" s="998"/>
      <c r="G16" s="998"/>
      <c r="H16" s="998"/>
      <c r="I16" s="998"/>
      <c r="J16" s="998"/>
      <c r="K16" s="998"/>
      <c r="L16" s="998"/>
      <c r="M16" s="998"/>
      <c r="N16" s="998"/>
    </row>
    <row r="17" spans="1:14" s="999" customFormat="1" ht="19.5" customHeight="1" x14ac:dyDescent="0.2">
      <c r="A17" s="1335" t="s">
        <v>1002</v>
      </c>
      <c r="B17" s="1335"/>
      <c r="C17" s="1335"/>
      <c r="D17" s="997"/>
      <c r="E17" s="997"/>
      <c r="F17" s="998"/>
      <c r="G17" s="998"/>
      <c r="H17" s="998"/>
      <c r="I17" s="998"/>
      <c r="J17" s="998"/>
      <c r="K17" s="998"/>
      <c r="L17" s="998"/>
      <c r="M17" s="998"/>
      <c r="N17" s="998"/>
    </row>
    <row r="18" spans="1:14" s="999" customFormat="1" ht="18" customHeight="1" x14ac:dyDescent="0.2">
      <c r="A18" s="1335" t="s">
        <v>546</v>
      </c>
      <c r="B18" s="1335"/>
      <c r="C18" s="1335"/>
      <c r="D18" s="997"/>
      <c r="E18" s="997"/>
      <c r="F18" s="998"/>
      <c r="G18" s="998"/>
      <c r="H18" s="998"/>
      <c r="I18" s="998"/>
      <c r="J18" s="998"/>
      <c r="K18" s="998"/>
      <c r="L18" s="998"/>
      <c r="M18" s="998"/>
      <c r="N18" s="998"/>
    </row>
    <row r="19" spans="1:14" s="999" customFormat="1" ht="35" customHeight="1" x14ac:dyDescent="0.2">
      <c r="A19" s="1335" t="s">
        <v>1007</v>
      </c>
      <c r="B19" s="1335"/>
      <c r="C19" s="1335"/>
      <c r="D19" s="997"/>
      <c r="E19" s="997"/>
      <c r="F19" s="998"/>
      <c r="G19" s="998"/>
      <c r="H19" s="998"/>
      <c r="I19" s="998"/>
      <c r="J19" s="998"/>
      <c r="K19" s="998"/>
      <c r="L19" s="998"/>
      <c r="M19" s="998"/>
      <c r="N19" s="998"/>
    </row>
    <row r="20" spans="1:14" s="405" customFormat="1" ht="24" customHeight="1" x14ac:dyDescent="0.15">
      <c r="A20" s="406" t="s">
        <v>530</v>
      </c>
      <c r="B20" s="407"/>
      <c r="C20" s="408"/>
      <c r="D20" s="408"/>
      <c r="E20" s="408"/>
      <c r="F20" s="404"/>
      <c r="G20" s="404"/>
      <c r="H20" s="404"/>
      <c r="I20" s="404"/>
      <c r="J20" s="404"/>
      <c r="K20" s="404"/>
      <c r="L20" s="404"/>
      <c r="M20" s="404"/>
      <c r="N20" s="404"/>
    </row>
    <row r="21" spans="1:14" ht="30" customHeight="1" x14ac:dyDescent="0.15">
      <c r="A21" s="1338" t="s">
        <v>533</v>
      </c>
      <c r="B21" s="1338"/>
      <c r="C21" s="1338"/>
      <c r="D21" s="667"/>
      <c r="E21" s="667"/>
      <c r="F21" s="310"/>
      <c r="G21" s="310"/>
      <c r="H21" s="310"/>
      <c r="I21" s="310"/>
      <c r="J21" s="310"/>
      <c r="K21" s="310"/>
      <c r="L21" s="310"/>
      <c r="M21" s="309"/>
      <c r="N21" s="309"/>
    </row>
    <row r="22" spans="1:14" ht="15" customHeight="1" x14ac:dyDescent="0.15">
      <c r="A22" s="409" t="s">
        <v>236</v>
      </c>
      <c r="B22" s="410" t="s">
        <v>547</v>
      </c>
      <c r="C22" s="989"/>
      <c r="D22" s="989"/>
      <c r="E22" s="989"/>
      <c r="H22" s="309"/>
      <c r="I22" s="309"/>
      <c r="J22" s="309"/>
      <c r="K22" s="309"/>
      <c r="L22" s="309"/>
      <c r="M22" s="309"/>
      <c r="N22" s="309"/>
    </row>
    <row r="23" spans="1:14" ht="15" customHeight="1" x14ac:dyDescent="0.15">
      <c r="A23" s="411" t="s">
        <v>237</v>
      </c>
      <c r="B23" s="410" t="s">
        <v>548</v>
      </c>
      <c r="C23" s="989"/>
      <c r="D23" s="989"/>
      <c r="E23" s="989"/>
      <c r="F23" s="368"/>
      <c r="H23" s="309"/>
      <c r="I23" s="309"/>
      <c r="J23" s="309"/>
      <c r="K23" s="309"/>
      <c r="L23" s="309"/>
      <c r="M23" s="309"/>
      <c r="N23" s="309"/>
    </row>
    <row r="24" spans="1:14" ht="15" customHeight="1" x14ac:dyDescent="0.15">
      <c r="A24" s="412" t="s">
        <v>526</v>
      </c>
      <c r="B24" s="410" t="s">
        <v>549</v>
      </c>
      <c r="C24" s="664"/>
      <c r="D24" s="664"/>
      <c r="E24" s="664"/>
      <c r="H24" s="309"/>
      <c r="I24" s="309"/>
      <c r="J24" s="309"/>
      <c r="K24" s="309"/>
      <c r="L24" s="309"/>
      <c r="M24" s="309"/>
      <c r="N24" s="309"/>
    </row>
    <row r="25" spans="1:14" ht="15" customHeight="1" x14ac:dyDescent="0.15">
      <c r="A25" s="413" t="s">
        <v>239</v>
      </c>
      <c r="B25" s="410" t="s">
        <v>550</v>
      </c>
      <c r="C25" s="665"/>
      <c r="D25" s="665"/>
      <c r="E25" s="665"/>
      <c r="J25" s="1332"/>
      <c r="K25" s="1332"/>
      <c r="L25" s="1332"/>
    </row>
    <row r="26" spans="1:14" ht="24" customHeight="1" x14ac:dyDescent="0.15">
      <c r="A26" s="406" t="s">
        <v>874</v>
      </c>
      <c r="C26" s="665"/>
      <c r="D26" s="665"/>
      <c r="E26" s="665"/>
    </row>
    <row r="27" spans="1:14" ht="16.5" customHeight="1" x14ac:dyDescent="0.15">
      <c r="A27" s="673" t="s">
        <v>877</v>
      </c>
      <c r="B27" s="674"/>
      <c r="C27" s="665"/>
      <c r="D27" s="665"/>
      <c r="E27" s="665"/>
    </row>
    <row r="28" spans="1:14" ht="17.25" customHeight="1" x14ac:dyDescent="0.15">
      <c r="A28" s="612" t="s">
        <v>875</v>
      </c>
      <c r="B28" s="613" t="s">
        <v>870</v>
      </c>
      <c r="C28" s="665"/>
      <c r="D28" s="665"/>
      <c r="E28" s="665"/>
    </row>
    <row r="29" spans="1:14" ht="15" x14ac:dyDescent="0.15">
      <c r="A29" s="611">
        <v>75</v>
      </c>
      <c r="B29" s="312" t="s">
        <v>542</v>
      </c>
      <c r="C29" s="664"/>
      <c r="D29" s="664"/>
      <c r="E29" s="665"/>
    </row>
    <row r="30" spans="1:14" x14ac:dyDescent="0.15">
      <c r="A30" s="611">
        <v>100</v>
      </c>
      <c r="B30" s="312" t="s">
        <v>543</v>
      </c>
      <c r="C30" s="665"/>
      <c r="D30" s="665"/>
      <c r="E30" s="665"/>
      <c r="K30" s="370"/>
    </row>
    <row r="31" spans="1:14" x14ac:dyDescent="0.15">
      <c r="A31" s="671">
        <v>125</v>
      </c>
      <c r="B31" s="312" t="s">
        <v>115</v>
      </c>
      <c r="C31" s="665"/>
      <c r="D31" s="665"/>
      <c r="E31" s="665"/>
      <c r="F31" s="371"/>
      <c r="G31" s="250"/>
      <c r="J31" s="371"/>
      <c r="K31" s="371"/>
      <c r="L31" s="371"/>
      <c r="M31" s="372"/>
    </row>
    <row r="32" spans="1:14" ht="16.5" customHeight="1" x14ac:dyDescent="0.15">
      <c r="A32" s="673" t="s">
        <v>878</v>
      </c>
      <c r="B32" s="675"/>
      <c r="C32" s="665"/>
      <c r="D32" s="665"/>
      <c r="E32" s="665"/>
      <c r="F32" s="371"/>
      <c r="G32" s="250"/>
      <c r="J32" s="371"/>
      <c r="K32" s="371"/>
      <c r="L32" s="371"/>
      <c r="M32" s="372"/>
    </row>
    <row r="33" spans="1:15" x14ac:dyDescent="0.15">
      <c r="A33" s="672" t="s">
        <v>879</v>
      </c>
      <c r="B33" s="676" t="s">
        <v>880</v>
      </c>
      <c r="C33" s="665"/>
      <c r="D33" s="665"/>
      <c r="E33" s="665"/>
      <c r="F33" s="371"/>
      <c r="G33" s="250"/>
      <c r="J33" s="371"/>
      <c r="K33" s="371"/>
      <c r="L33" s="371"/>
      <c r="M33" s="372"/>
    </row>
    <row r="34" spans="1:15" x14ac:dyDescent="0.15">
      <c r="A34" s="672" t="s">
        <v>413</v>
      </c>
      <c r="B34" s="676" t="s">
        <v>881</v>
      </c>
      <c r="C34" s="665"/>
      <c r="D34" s="665"/>
      <c r="E34" s="665"/>
      <c r="F34" s="371"/>
      <c r="G34" s="250"/>
      <c r="J34" s="371"/>
      <c r="K34" s="371"/>
      <c r="L34" s="371"/>
      <c r="M34" s="372"/>
    </row>
    <row r="35" spans="1:15" ht="16.5" customHeight="1" x14ac:dyDescent="0.15">
      <c r="A35" s="673" t="s">
        <v>882</v>
      </c>
      <c r="B35" s="675"/>
      <c r="C35" s="665"/>
      <c r="D35" s="665"/>
      <c r="E35" s="665"/>
      <c r="F35" s="371"/>
      <c r="G35" s="250"/>
      <c r="J35" s="371"/>
      <c r="K35" s="371"/>
      <c r="L35" s="371"/>
      <c r="M35" s="372"/>
    </row>
    <row r="36" spans="1:15" x14ac:dyDescent="0.15">
      <c r="A36" s="671">
        <v>50</v>
      </c>
      <c r="B36" s="367" t="s">
        <v>883</v>
      </c>
      <c r="C36" s="665"/>
      <c r="D36" s="665"/>
      <c r="E36" s="665"/>
      <c r="F36" s="371"/>
      <c r="G36" s="250"/>
      <c r="J36" s="371"/>
      <c r="K36" s="371"/>
      <c r="L36" s="371"/>
      <c r="M36" s="372"/>
    </row>
    <row r="37" spans="1:15" x14ac:dyDescent="0.15">
      <c r="A37" s="611">
        <v>38</v>
      </c>
      <c r="B37" s="312" t="s">
        <v>842</v>
      </c>
      <c r="C37" s="665"/>
      <c r="D37" s="665"/>
      <c r="E37" s="665"/>
      <c r="F37" s="371"/>
      <c r="G37" s="250"/>
      <c r="J37" s="371"/>
      <c r="K37" s="371"/>
      <c r="L37" s="371"/>
      <c r="M37" s="372"/>
    </row>
    <row r="38" spans="1:15" ht="24" customHeight="1" x14ac:dyDescent="0.2">
      <c r="A38" s="670" t="s">
        <v>535</v>
      </c>
      <c r="C38" s="665"/>
      <c r="D38" s="665"/>
      <c r="E38" s="665"/>
      <c r="F38" s="371"/>
      <c r="J38" s="371"/>
      <c r="K38" s="371"/>
      <c r="L38" s="371"/>
      <c r="M38" s="372"/>
    </row>
    <row r="39" spans="1:15" ht="14.25" customHeight="1" x14ac:dyDescent="0.15">
      <c r="A39" s="695" t="s">
        <v>1011</v>
      </c>
      <c r="B39" s="685"/>
      <c r="C39" s="686"/>
      <c r="D39" s="309"/>
      <c r="E39" s="310"/>
      <c r="F39" s="310"/>
      <c r="G39" s="368"/>
      <c r="I39" s="309"/>
      <c r="J39" s="309"/>
      <c r="K39" s="309"/>
      <c r="L39" s="309"/>
      <c r="M39" s="309"/>
      <c r="N39" s="309"/>
      <c r="O39" s="309"/>
    </row>
    <row r="40" spans="1:15" ht="14.25" customHeight="1" x14ac:dyDescent="0.15">
      <c r="A40" s="1013" t="s">
        <v>1012</v>
      </c>
      <c r="B40" s="308"/>
      <c r="C40" s="309"/>
      <c r="D40" s="309"/>
      <c r="E40" s="310"/>
      <c r="F40" s="310"/>
      <c r="G40" s="368"/>
      <c r="I40" s="309"/>
      <c r="J40" s="309"/>
      <c r="K40" s="309"/>
      <c r="L40" s="309"/>
      <c r="M40" s="309"/>
      <c r="N40" s="309"/>
      <c r="O40" s="309"/>
    </row>
    <row r="41" spans="1:15" ht="15" customHeight="1" x14ac:dyDescent="0.15">
      <c r="A41" s="719" t="s">
        <v>551</v>
      </c>
      <c r="B41" s="308"/>
      <c r="C41" s="309"/>
      <c r="D41" s="309"/>
      <c r="E41" s="310"/>
      <c r="F41" s="310"/>
      <c r="G41" s="368"/>
      <c r="I41" s="309"/>
      <c r="J41" s="309"/>
      <c r="K41" s="309"/>
      <c r="L41" s="309"/>
      <c r="M41" s="309"/>
      <c r="N41" s="309"/>
      <c r="O41" s="309"/>
    </row>
    <row r="42" spans="1:15" ht="15" x14ac:dyDescent="0.2">
      <c r="A42" s="1930" t="s">
        <v>1446</v>
      </c>
      <c r="B42" s="1946"/>
      <c r="C42" s="1947" t="s">
        <v>988</v>
      </c>
      <c r="D42" s="1933"/>
      <c r="E42" s="886"/>
      <c r="F42" s="309"/>
      <c r="G42" s="368"/>
      <c r="I42" s="309"/>
      <c r="J42" s="309"/>
      <c r="K42" s="309"/>
      <c r="L42" s="309"/>
      <c r="M42" s="309"/>
      <c r="N42" s="309"/>
      <c r="O42" s="309"/>
    </row>
    <row r="43" spans="1:15" ht="15" x14ac:dyDescent="0.2">
      <c r="A43" s="1942" t="s">
        <v>1439</v>
      </c>
      <c r="B43" s="1942"/>
      <c r="C43" s="1942"/>
      <c r="D43" s="1942"/>
      <c r="E43" s="1943"/>
      <c r="F43" s="1943"/>
      <c r="G43" s="368"/>
      <c r="I43" s="309"/>
      <c r="J43" s="309"/>
      <c r="K43" s="309"/>
      <c r="L43" s="309"/>
      <c r="M43" s="309"/>
      <c r="N43" s="309"/>
      <c r="O43" s="309"/>
    </row>
    <row r="44" spans="1:15" ht="14.25" customHeight="1" x14ac:dyDescent="0.2">
      <c r="A44" s="1933"/>
      <c r="B44" s="1934" t="s">
        <v>1440</v>
      </c>
      <c r="C44" s="1935"/>
      <c r="D44" s="1935"/>
      <c r="E44" s="1931"/>
      <c r="F44" s="1932"/>
      <c r="I44" s="309"/>
      <c r="J44" s="309"/>
      <c r="K44" s="309"/>
      <c r="L44" s="309"/>
      <c r="M44" s="309"/>
      <c r="N44" s="309"/>
      <c r="O44" s="309"/>
    </row>
    <row r="45" spans="1:15" ht="14.25" customHeight="1" x14ac:dyDescent="0.2">
      <c r="A45" s="1936" t="s">
        <v>1441</v>
      </c>
      <c r="B45" s="1937"/>
      <c r="C45" s="1937"/>
      <c r="D45" s="1937"/>
      <c r="E45" s="1938"/>
      <c r="F45" s="1932"/>
      <c r="K45" s="1332"/>
      <c r="L45" s="1332"/>
      <c r="M45" s="1332"/>
    </row>
    <row r="46" spans="1:15" ht="14.25" customHeight="1" x14ac:dyDescent="0.2">
      <c r="A46" s="1333" t="s">
        <v>876</v>
      </c>
      <c r="B46" s="1334"/>
      <c r="C46" s="1333"/>
      <c r="D46" s="1334"/>
      <c r="E46" s="1938"/>
      <c r="F46" s="1932"/>
      <c r="K46" s="1331"/>
      <c r="L46" s="1331"/>
      <c r="M46" s="1331"/>
    </row>
    <row r="47" spans="1:15" ht="14.25" customHeight="1" x14ac:dyDescent="0.15">
      <c r="A47" s="669" t="s">
        <v>1008</v>
      </c>
      <c r="C47" s="669"/>
      <c r="E47" s="1932"/>
      <c r="F47" s="1932"/>
      <c r="K47" s="1331"/>
      <c r="L47" s="1331"/>
      <c r="M47" s="1331"/>
    </row>
    <row r="48" spans="1:15" ht="14.25" customHeight="1" x14ac:dyDescent="0.2">
      <c r="A48" s="1939" t="s">
        <v>1442</v>
      </c>
      <c r="B48" s="1940"/>
      <c r="C48" s="1940"/>
      <c r="D48" s="1940"/>
      <c r="E48" s="1940"/>
      <c r="F48" s="1940"/>
      <c r="K48" s="1331"/>
      <c r="L48" s="1331"/>
      <c r="M48" s="1331"/>
    </row>
    <row r="49" spans="1:13" ht="14.25" customHeight="1" x14ac:dyDescent="0.2">
      <c r="A49" s="1944" t="s">
        <v>1443</v>
      </c>
      <c r="B49" s="1945"/>
      <c r="C49" s="1945"/>
      <c r="D49" s="1941"/>
      <c r="E49" s="1941"/>
      <c r="F49" s="1941"/>
      <c r="K49" s="1331"/>
      <c r="L49" s="1331"/>
      <c r="M49" s="1331"/>
    </row>
    <row r="50" spans="1:13" ht="19.5" customHeight="1" x14ac:dyDescent="0.2">
      <c r="A50" s="1944" t="s">
        <v>1444</v>
      </c>
      <c r="B50" s="1945"/>
      <c r="C50" s="1945"/>
      <c r="D50" s="1941"/>
      <c r="E50" s="1941"/>
      <c r="F50" s="1941"/>
    </row>
    <row r="51" spans="1:13" ht="14.25" customHeight="1" x14ac:dyDescent="0.2">
      <c r="A51" s="1944" t="s">
        <v>1445</v>
      </c>
      <c r="B51" s="1945"/>
      <c r="C51" s="1945"/>
      <c r="D51" s="1941"/>
      <c r="E51" s="1941"/>
      <c r="F51" s="1941"/>
      <c r="G51" s="309"/>
    </row>
    <row r="52" spans="1:13" x14ac:dyDescent="0.15">
      <c r="B52" s="403"/>
      <c r="C52" s="669"/>
      <c r="D52" s="669"/>
      <c r="E52" s="668"/>
    </row>
    <row r="53" spans="1:13" x14ac:dyDescent="0.15">
      <c r="B53" s="271"/>
      <c r="C53" s="669"/>
      <c r="D53" s="669"/>
      <c r="E53" s="668"/>
    </row>
    <row r="54" spans="1:13" x14ac:dyDescent="0.15">
      <c r="B54" s="415"/>
      <c r="C54" s="669"/>
      <c r="D54" s="669"/>
      <c r="E54" s="668"/>
    </row>
    <row r="55" spans="1:13" x14ac:dyDescent="0.15">
      <c r="B55" s="415"/>
    </row>
    <row r="56" spans="1:13" x14ac:dyDescent="0.15">
      <c r="C56" s="669"/>
      <c r="D56" s="669"/>
      <c r="E56" s="668"/>
    </row>
    <row r="57" spans="1:13" x14ac:dyDescent="0.15">
      <c r="C57" s="669"/>
      <c r="D57" s="669"/>
      <c r="E57" s="668"/>
    </row>
    <row r="59" spans="1:13" x14ac:dyDescent="0.15">
      <c r="C59" s="669"/>
      <c r="D59" s="669"/>
      <c r="E59" s="668"/>
    </row>
    <row r="60" spans="1:13" x14ac:dyDescent="0.15">
      <c r="B60" s="669"/>
      <c r="D60" s="669"/>
      <c r="E60" s="668"/>
    </row>
    <row r="61" spans="1:13" x14ac:dyDescent="0.15">
      <c r="B61" s="669"/>
      <c r="D61" s="669"/>
      <c r="E61" s="668"/>
    </row>
    <row r="62" spans="1:13" x14ac:dyDescent="0.15">
      <c r="B62" s="669"/>
      <c r="D62" s="669"/>
      <c r="E62" s="668"/>
    </row>
  </sheetData>
  <sheetProtection algorithmName="SHA-512" hashValue="JThsAE+eRoaNFSgni1udFBhDDuLnxJywCCBx4BUZhZ+zStPEcS3hqEDkDrdUyYLzd2ieYMz2Q8qUNKrzS3H10A==" saltValue="xeaU3/dPextbMx1zhxMMEA==" spinCount="100000" sheet="1" objects="1" scenarios="1"/>
  <mergeCells count="21">
    <mergeCell ref="A49:C49"/>
    <mergeCell ref="A50:C50"/>
    <mergeCell ref="A51:C51"/>
    <mergeCell ref="A45:D45"/>
    <mergeCell ref="K45:M45"/>
    <mergeCell ref="A46:B46"/>
    <mergeCell ref="C46:D46"/>
    <mergeCell ref="A48:F48"/>
    <mergeCell ref="J25:L25"/>
    <mergeCell ref="A42:B42"/>
    <mergeCell ref="A9:C9"/>
    <mergeCell ref="A10:C10"/>
    <mergeCell ref="A12:C12"/>
    <mergeCell ref="A16:C16"/>
    <mergeCell ref="A17:C17"/>
    <mergeCell ref="A18:C18"/>
    <mergeCell ref="A21:C21"/>
    <mergeCell ref="A14:C14"/>
    <mergeCell ref="A19:C19"/>
    <mergeCell ref="A43:F43"/>
    <mergeCell ref="B44:D44"/>
  </mergeCells>
  <phoneticPr fontId="13" type="noConversion"/>
  <hyperlinks>
    <hyperlink ref="B44:D44" r:id="rId1" display="https://buildertrend.net" xr:uid="{40AD8D33-19BA-CA45-97BE-5378179991F5}"/>
    <hyperlink ref="C42" r:id="rId2" xr:uid="{779C4939-7DBD-CE45-83B3-506B5AE174F5}"/>
  </hyperlinks>
  <printOptions horizontalCentered="1" verticalCentered="1"/>
  <pageMargins left="0.2" right="0.2" top="0.75" bottom="0.35" header="0.3" footer="0.05"/>
  <pageSetup scale="60" orientation="portrait" cellComments="atEnd" r:id="rId3"/>
  <headerFooter>
    <oddHeader>&amp;C&amp;G</oddHeader>
    <oddFooter>&amp;L&amp;A&amp;C&amp;9&amp;K0070C0The FGBC Green Home Standard is endorsed by the Florida Home Builders Association &amp;G</oddFooter>
  </headerFooter>
  <drawing r:id="rId4"/>
  <legacyDrawingHF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B150"/>
  <sheetViews>
    <sheetView zoomScale="160" zoomScaleNormal="160" zoomScalePageLayoutView="130" workbookViewId="0">
      <selection activeCell="A3" sqref="A3:B3"/>
    </sheetView>
  </sheetViews>
  <sheetFormatPr baseColWidth="10" defaultColWidth="8.6640625" defaultRowHeight="15" x14ac:dyDescent="0.2"/>
  <cols>
    <col min="1" max="1" width="6.6640625" style="94" customWidth="1"/>
    <col min="2" max="2" width="7.6640625" style="94" customWidth="1"/>
    <col min="3" max="3" width="11.1640625" style="94" customWidth="1"/>
    <col min="4" max="4" width="7.6640625" style="94" customWidth="1"/>
    <col min="5" max="5" width="66.6640625" style="94" customWidth="1"/>
    <col min="6" max="6" width="42.33203125" style="94" customWidth="1"/>
    <col min="7" max="7" width="4.6640625" style="391" customWidth="1"/>
    <col min="8" max="8" width="88.6640625" style="94" customWidth="1"/>
    <col min="9" max="9" width="8.6640625" style="94" customWidth="1"/>
    <col min="10" max="16" width="8.6640625" style="94"/>
    <col min="17" max="17" width="5.5" style="94" customWidth="1"/>
    <col min="18" max="25" width="8.6640625" style="94"/>
    <col min="26" max="26" width="8.6640625" style="323"/>
    <col min="27" max="16384" width="8.6640625" style="94"/>
  </cols>
  <sheetData>
    <row r="1" spans="1:26" ht="19" x14ac:dyDescent="0.25">
      <c r="A1" s="1617" t="s">
        <v>776</v>
      </c>
      <c r="B1" s="1618"/>
      <c r="C1" s="1618"/>
      <c r="D1" s="1618"/>
      <c r="E1" s="1618"/>
      <c r="F1" s="1619"/>
      <c r="G1" s="732"/>
      <c r="H1" s="92"/>
    </row>
    <row r="2" spans="1:26" ht="18" customHeight="1" x14ac:dyDescent="0.2">
      <c r="A2" s="681" t="s">
        <v>149</v>
      </c>
      <c r="B2" s="682"/>
      <c r="C2" s="682"/>
      <c r="D2" s="682"/>
      <c r="E2" s="682"/>
      <c r="F2" s="683" t="str">
        <f>'1. Instructions'!B5</f>
        <v>Revised 4-5-2022</v>
      </c>
      <c r="G2" s="847"/>
    </row>
    <row r="3" spans="1:26" ht="18" customHeight="1" x14ac:dyDescent="0.2">
      <c r="A3" s="1599" t="s">
        <v>7</v>
      </c>
      <c r="B3" s="1600"/>
      <c r="C3" s="1631" t="s">
        <v>20</v>
      </c>
      <c r="D3" s="1632"/>
      <c r="E3" s="1632"/>
      <c r="F3" s="1633"/>
    </row>
    <row r="4" spans="1:26" ht="27.75" customHeight="1" x14ac:dyDescent="0.2">
      <c r="A4" s="324"/>
      <c r="B4" s="325" t="s">
        <v>765</v>
      </c>
      <c r="C4" s="325" t="s">
        <v>766</v>
      </c>
      <c r="D4" s="919" t="s">
        <v>31</v>
      </c>
      <c r="E4" s="1634"/>
      <c r="F4" s="1635"/>
      <c r="H4" s="599" t="s">
        <v>69</v>
      </c>
    </row>
    <row r="5" spans="1:26" ht="16" x14ac:dyDescent="0.2">
      <c r="A5" s="1543" t="s">
        <v>958</v>
      </c>
      <c r="B5" s="1628"/>
      <c r="C5" s="1544"/>
      <c r="D5" s="1544"/>
      <c r="E5" s="1544"/>
      <c r="F5" s="326" t="s">
        <v>762</v>
      </c>
      <c r="G5" s="733"/>
      <c r="H5" s="186" t="s">
        <v>71</v>
      </c>
      <c r="I5" s="328" t="s">
        <v>23</v>
      </c>
      <c r="J5" s="306"/>
      <c r="K5" s="306"/>
      <c r="L5" s="306"/>
      <c r="M5" s="306"/>
      <c r="N5" s="306"/>
      <c r="O5" s="306"/>
      <c r="P5" s="306"/>
      <c r="Q5" s="199"/>
    </row>
    <row r="6" spans="1:26" x14ac:dyDescent="0.2">
      <c r="A6" s="489" t="s">
        <v>1048</v>
      </c>
      <c r="B6" s="1059">
        <v>3</v>
      </c>
      <c r="C6" s="490" t="s">
        <v>973</v>
      </c>
      <c r="D6" s="1606" t="s">
        <v>73</v>
      </c>
      <c r="E6" s="1608"/>
      <c r="F6" s="578" t="s">
        <v>1403</v>
      </c>
      <c r="G6" s="392"/>
      <c r="H6" s="345" t="str">
        <f>IF(B6&gt;0,"Photo or cut sheet for each appliance","none")</f>
        <v>Photo or cut sheet for each appliance</v>
      </c>
      <c r="I6" s="491" t="str">
        <f>IF(B6&gt;0,"[  ]",0)</f>
        <v>[  ]</v>
      </c>
      <c r="J6" s="306"/>
      <c r="K6" s="306"/>
      <c r="L6" s="306"/>
      <c r="M6" s="306"/>
      <c r="N6" s="306"/>
      <c r="O6" s="306"/>
      <c r="P6" s="306"/>
      <c r="Q6" s="199"/>
      <c r="Z6" s="336" t="str">
        <f>IF(I6="[  ]","[  ]",1)</f>
        <v>[  ]</v>
      </c>
    </row>
    <row r="7" spans="1:26" x14ac:dyDescent="0.2">
      <c r="A7" s="489" t="s">
        <v>1049</v>
      </c>
      <c r="B7" s="319">
        <v>1</v>
      </c>
      <c r="C7" s="1030">
        <v>1</v>
      </c>
      <c r="D7" s="1606" t="s">
        <v>931</v>
      </c>
      <c r="E7" s="1607"/>
      <c r="F7" s="618" t="s">
        <v>1411</v>
      </c>
      <c r="G7" s="735"/>
      <c r="H7" s="345" t="str">
        <f>IF(B7=1,"Photo or cut sheet of package showing flow rate","none")</f>
        <v>Photo or cut sheet of package showing flow rate</v>
      </c>
      <c r="I7" s="333" t="s">
        <v>7</v>
      </c>
      <c r="J7" s="306"/>
      <c r="K7" s="306"/>
      <c r="L7" s="306"/>
      <c r="M7" s="306"/>
      <c r="N7" s="306"/>
      <c r="O7" s="306"/>
      <c r="P7" s="306"/>
      <c r="Q7" s="199"/>
    </row>
    <row r="8" spans="1:26" x14ac:dyDescent="0.2">
      <c r="A8" s="489" t="s">
        <v>1050</v>
      </c>
      <c r="B8" s="319">
        <v>1</v>
      </c>
      <c r="C8" s="1030">
        <v>1</v>
      </c>
      <c r="D8" s="1606" t="s">
        <v>968</v>
      </c>
      <c r="E8" s="1608"/>
      <c r="F8" s="1015" t="s">
        <v>1408</v>
      </c>
      <c r="G8" s="392"/>
      <c r="H8" s="345" t="str">
        <f>IF(B8=1,"Photo of each shower showing showerhead","none")</f>
        <v>Photo of each shower showing showerhead</v>
      </c>
      <c r="I8" s="493" t="str">
        <f>IF(B8=1,"[  ]",0)</f>
        <v>[  ]</v>
      </c>
      <c r="J8" s="306"/>
      <c r="K8" s="306"/>
      <c r="L8" s="306"/>
      <c r="M8" s="306"/>
      <c r="N8" s="306"/>
      <c r="O8" s="306"/>
      <c r="P8" s="306"/>
      <c r="Q8" s="199"/>
      <c r="Z8" s="336" t="str">
        <f>IF(I8="[  ]","[  ]",1)</f>
        <v>[  ]</v>
      </c>
    </row>
    <row r="9" spans="1:26" x14ac:dyDescent="0.2">
      <c r="A9" s="489" t="s">
        <v>1051</v>
      </c>
      <c r="B9" s="319">
        <v>1</v>
      </c>
      <c r="C9" s="1031" t="s">
        <v>47</v>
      </c>
      <c r="D9" s="1606" t="s">
        <v>936</v>
      </c>
      <c r="E9" s="1608"/>
      <c r="F9" s="1015" t="s">
        <v>1410</v>
      </c>
      <c r="G9" s="734"/>
      <c r="H9" s="576" t="str">
        <f>IF(B9&lt;=2,"Photo of packaging or cut sheet of product indicating flow rate and/or WaterSense label.","none")</f>
        <v>Photo of packaging or cut sheet of product indicating flow rate and/or WaterSense label.</v>
      </c>
      <c r="I9" s="328"/>
      <c r="J9" s="306"/>
      <c r="K9" s="306"/>
      <c r="L9" s="306"/>
      <c r="M9" s="306"/>
      <c r="N9" s="306"/>
      <c r="O9" s="306"/>
      <c r="P9" s="306"/>
      <c r="Q9" s="199"/>
    </row>
    <row r="10" spans="1:26" x14ac:dyDescent="0.2">
      <c r="A10" s="489" t="s">
        <v>1052</v>
      </c>
      <c r="B10" s="1057">
        <v>2</v>
      </c>
      <c r="C10" s="1030" t="s">
        <v>1245</v>
      </c>
      <c r="D10" s="1606" t="s">
        <v>1246</v>
      </c>
      <c r="E10" s="1608"/>
      <c r="F10" s="1015" t="s">
        <v>1409</v>
      </c>
      <c r="G10" s="734"/>
      <c r="H10" s="345" t="str">
        <f>IF(B10=2,"Cut sheet for toilet","none")</f>
        <v>Cut sheet for toilet</v>
      </c>
      <c r="I10" s="491" t="str">
        <f>IF(B10=2,"[  ]",0)</f>
        <v>[  ]</v>
      </c>
      <c r="J10" s="306"/>
      <c r="K10" s="306"/>
      <c r="L10" s="306"/>
      <c r="M10" s="306"/>
      <c r="N10" s="306"/>
      <c r="O10" s="306"/>
      <c r="P10" s="306"/>
      <c r="Q10" s="199"/>
      <c r="Z10" s="336" t="str">
        <f>IF(I10="[  ]","[  ]",1)</f>
        <v>[  ]</v>
      </c>
    </row>
    <row r="11" spans="1:26" x14ac:dyDescent="0.2">
      <c r="A11" s="489" t="s">
        <v>1053</v>
      </c>
      <c r="B11" s="1057">
        <v>1</v>
      </c>
      <c r="C11" s="1030">
        <v>1</v>
      </c>
      <c r="D11" s="1606" t="s">
        <v>1247</v>
      </c>
      <c r="E11" s="1608"/>
      <c r="F11" s="1019" t="s">
        <v>1412</v>
      </c>
      <c r="G11" s="734"/>
      <c r="H11" s="1018"/>
      <c r="I11" s="491"/>
      <c r="J11" s="1041"/>
      <c r="K11" s="765"/>
      <c r="L11" s="765"/>
      <c r="M11" s="765"/>
      <c r="N11" s="765"/>
      <c r="O11" s="765"/>
      <c r="P11" s="765"/>
      <c r="Q11" s="199"/>
      <c r="Z11" s="336"/>
    </row>
    <row r="12" spans="1:26" x14ac:dyDescent="0.2">
      <c r="A12" s="489" t="s">
        <v>1193</v>
      </c>
      <c r="B12" s="1057"/>
      <c r="C12" s="343">
        <v>1</v>
      </c>
      <c r="D12" s="1606" t="s">
        <v>1194</v>
      </c>
      <c r="E12" s="1608"/>
      <c r="F12" s="1015" t="s">
        <v>1434</v>
      </c>
      <c r="G12" s="392"/>
      <c r="H12" s="345" t="str">
        <f>IF(B12=1,"Cut sheet for toilet","none")</f>
        <v>none</v>
      </c>
      <c r="I12" s="491">
        <f>IF(B12=1,"[  ]",0)</f>
        <v>0</v>
      </c>
      <c r="J12" s="306"/>
      <c r="K12" s="306"/>
      <c r="L12" s="306"/>
      <c r="M12" s="306"/>
      <c r="N12" s="306"/>
      <c r="O12" s="306"/>
      <c r="P12" s="306"/>
      <c r="Q12" s="199"/>
      <c r="Z12" s="336">
        <f>IF(I12="[  ]","[  ]",1)</f>
        <v>1</v>
      </c>
    </row>
    <row r="13" spans="1:26" ht="10.5" customHeight="1" x14ac:dyDescent="0.2">
      <c r="A13" s="1515"/>
      <c r="B13" s="1516"/>
      <c r="C13" s="1516"/>
      <c r="D13" s="1516"/>
      <c r="E13" s="1516"/>
      <c r="F13" s="1517"/>
      <c r="G13" s="392"/>
      <c r="H13" s="896"/>
      <c r="I13" s="421"/>
      <c r="J13" s="306"/>
      <c r="K13" s="306"/>
      <c r="L13" s="306"/>
      <c r="M13" s="306"/>
      <c r="N13" s="306"/>
      <c r="O13" s="306"/>
      <c r="P13" s="306"/>
      <c r="Q13" s="199"/>
    </row>
    <row r="14" spans="1:26" ht="16" hidden="1" x14ac:dyDescent="0.2">
      <c r="A14" s="1543" t="s">
        <v>1436</v>
      </c>
      <c r="B14" s="1544"/>
      <c r="C14" s="1544"/>
      <c r="D14" s="1544"/>
      <c r="E14" s="1544"/>
      <c r="F14" s="326" t="s">
        <v>762</v>
      </c>
      <c r="H14" s="186" t="s">
        <v>80</v>
      </c>
      <c r="J14" s="495"/>
      <c r="K14" s="495"/>
      <c r="L14" s="495"/>
      <c r="M14" s="495"/>
      <c r="N14" s="495"/>
      <c r="O14" s="495"/>
      <c r="P14" s="495"/>
      <c r="Q14" s="199"/>
    </row>
    <row r="15" spans="1:26" ht="75" hidden="1" customHeight="1" x14ac:dyDescent="0.2">
      <c r="A15" s="496" t="s">
        <v>1054</v>
      </c>
      <c r="B15" s="903"/>
      <c r="C15" s="343" t="s">
        <v>919</v>
      </c>
      <c r="D15" s="1657" t="s">
        <v>1393</v>
      </c>
      <c r="E15" s="1658"/>
      <c r="F15" s="578"/>
      <c r="G15" s="392"/>
      <c r="H15" s="922" t="str">
        <f>IF(B15=1,"Pre-slab photos, schematic of system design, or submittal per reference guide","none")</f>
        <v>none</v>
      </c>
      <c r="I15" s="493">
        <f>IF(B15=3,"[  ]",0)</f>
        <v>0</v>
      </c>
      <c r="J15" s="306"/>
      <c r="K15" s="306"/>
      <c r="L15" s="306"/>
      <c r="M15" s="306"/>
      <c r="N15" s="306"/>
      <c r="O15" s="306"/>
      <c r="P15" s="306"/>
      <c r="Q15" s="199"/>
      <c r="Z15" s="336">
        <f>IF(I15="[  ]","[  ]",1)</f>
        <v>1</v>
      </c>
    </row>
    <row r="16" spans="1:26" s="97" customFormat="1" ht="10.5" hidden="1" customHeight="1" x14ac:dyDescent="0.2">
      <c r="A16" s="1614"/>
      <c r="B16" s="1615"/>
      <c r="C16" s="1615"/>
      <c r="D16" s="1615"/>
      <c r="E16" s="1615"/>
      <c r="F16" s="1616"/>
      <c r="G16" s="736"/>
      <c r="H16" s="306"/>
      <c r="I16" s="421"/>
      <c r="J16" s="306"/>
      <c r="K16" s="306"/>
      <c r="L16" s="306"/>
      <c r="M16" s="306"/>
      <c r="N16" s="306"/>
      <c r="O16" s="306"/>
      <c r="P16" s="306"/>
      <c r="Q16" s="497"/>
      <c r="Z16" s="498"/>
    </row>
    <row r="17" spans="1:26" ht="16" hidden="1" x14ac:dyDescent="0.2">
      <c r="A17" s="1543" t="s">
        <v>779</v>
      </c>
      <c r="B17" s="1544"/>
      <c r="C17" s="1544"/>
      <c r="D17" s="1544"/>
      <c r="E17" s="1544"/>
      <c r="F17" s="326" t="s">
        <v>762</v>
      </c>
      <c r="H17" s="595" t="s">
        <v>84</v>
      </c>
      <c r="J17" s="445"/>
      <c r="K17" s="306"/>
      <c r="L17" s="306"/>
      <c r="M17" s="306"/>
      <c r="N17" s="306"/>
      <c r="O17" s="306"/>
      <c r="P17" s="306"/>
      <c r="Q17" s="199"/>
    </row>
    <row r="18" spans="1:26" ht="79" hidden="1" customHeight="1" x14ac:dyDescent="0.2">
      <c r="A18" s="1233" t="s">
        <v>1055</v>
      </c>
      <c r="B18" s="278"/>
      <c r="C18" s="1234" t="s">
        <v>1308</v>
      </c>
      <c r="D18" s="1659" t="s">
        <v>1298</v>
      </c>
      <c r="E18" s="1623"/>
      <c r="F18" s="578"/>
      <c r="G18" s="392"/>
      <c r="H18" s="909" t="str">
        <f>IF(B18&gt;0,"Schematic of system design","none")</f>
        <v>none</v>
      </c>
      <c r="I18" s="493">
        <f>IF(B18=2,"[  ]",0)</f>
        <v>0</v>
      </c>
      <c r="J18" s="306"/>
      <c r="K18" s="306"/>
      <c r="L18" s="306"/>
      <c r="M18" s="306"/>
      <c r="N18" s="306"/>
      <c r="O18" s="306"/>
      <c r="P18" s="306"/>
      <c r="Q18" s="199"/>
      <c r="Z18" s="336">
        <f>IF(I18="[  ]","[  ]",1)</f>
        <v>1</v>
      </c>
    </row>
    <row r="19" spans="1:26" s="97" customFormat="1" ht="10.5" hidden="1" customHeight="1" x14ac:dyDescent="0.2">
      <c r="A19" s="1614"/>
      <c r="B19" s="1615"/>
      <c r="C19" s="1615"/>
      <c r="D19" s="1615"/>
      <c r="E19" s="1615"/>
      <c r="F19" s="1616"/>
      <c r="G19" s="735"/>
      <c r="H19" s="306"/>
      <c r="I19" s="421"/>
      <c r="J19" s="306"/>
      <c r="K19" s="306"/>
      <c r="L19" s="306"/>
      <c r="M19" s="306"/>
      <c r="N19" s="306"/>
      <c r="O19" s="306"/>
      <c r="P19" s="306"/>
      <c r="Q19" s="497"/>
      <c r="Z19" s="498"/>
    </row>
    <row r="20" spans="1:26" ht="16" x14ac:dyDescent="0.2">
      <c r="A20" s="1543" t="s">
        <v>780</v>
      </c>
      <c r="B20" s="1544"/>
      <c r="C20" s="1544"/>
      <c r="D20" s="1544"/>
      <c r="E20" s="1544"/>
      <c r="F20" s="326" t="s">
        <v>762</v>
      </c>
      <c r="H20" s="595" t="s">
        <v>87</v>
      </c>
      <c r="J20" s="445"/>
      <c r="K20" s="306"/>
      <c r="L20" s="306"/>
      <c r="M20" s="306"/>
      <c r="N20" s="306"/>
      <c r="O20" s="306"/>
      <c r="P20" s="306"/>
      <c r="Q20" s="199"/>
    </row>
    <row r="21" spans="1:26" x14ac:dyDescent="0.2">
      <c r="A21" s="489" t="s">
        <v>1056</v>
      </c>
      <c r="B21" s="655"/>
      <c r="C21" s="1031" t="s">
        <v>47</v>
      </c>
      <c r="D21" s="1629" t="s">
        <v>88</v>
      </c>
      <c r="E21" s="1630"/>
      <c r="F21" s="578" t="s">
        <v>1435</v>
      </c>
      <c r="G21" s="392"/>
      <c r="H21" s="345" t="str">
        <f>IF(B21=1,"Documentation that describes reclaimed water use agreement","none")</f>
        <v>none</v>
      </c>
      <c r="I21" s="493">
        <f>IF(B21=2,"[  ]",0)</f>
        <v>0</v>
      </c>
      <c r="J21" s="306"/>
      <c r="K21" s="306"/>
      <c r="L21" s="306"/>
      <c r="M21" s="306"/>
      <c r="N21" s="306"/>
      <c r="O21" s="306"/>
      <c r="P21" s="306"/>
      <c r="Q21" s="199"/>
      <c r="Z21" s="336">
        <f>IF(I21="[  ]","[  ]",1)</f>
        <v>1</v>
      </c>
    </row>
    <row r="22" spans="1:26" x14ac:dyDescent="0.2">
      <c r="A22" s="489" t="s">
        <v>1057</v>
      </c>
      <c r="B22" s="655"/>
      <c r="C22" s="1030">
        <v>1</v>
      </c>
      <c r="D22" s="1629" t="s">
        <v>89</v>
      </c>
      <c r="E22" s="1630"/>
      <c r="F22" s="578"/>
      <c r="G22" s="392"/>
      <c r="H22" s="909" t="str">
        <f>IF(B22=1,"Documentation that describes reclaimed water use agreement","none")</f>
        <v>none</v>
      </c>
      <c r="I22" s="493">
        <f>IF(B22=2,"[  ]",0)</f>
        <v>0</v>
      </c>
      <c r="J22" s="306"/>
      <c r="K22" s="306"/>
      <c r="L22" s="306"/>
      <c r="M22" s="306"/>
      <c r="N22" s="306"/>
      <c r="O22" s="306"/>
      <c r="P22" s="306"/>
      <c r="Q22" s="199"/>
      <c r="Z22" s="336">
        <f>IF(I22="[  ]","[  ]",1)</f>
        <v>1</v>
      </c>
    </row>
    <row r="23" spans="1:26" x14ac:dyDescent="0.2">
      <c r="A23" s="489" t="s">
        <v>1058</v>
      </c>
      <c r="B23" s="655"/>
      <c r="C23" s="343">
        <v>1</v>
      </c>
      <c r="D23" s="1622" t="s">
        <v>496</v>
      </c>
      <c r="E23" s="1623"/>
      <c r="F23" s="578"/>
      <c r="G23" s="392"/>
      <c r="H23" s="909" t="str">
        <f>IF(B23=1,"Documentation that describes reclaimed water use agreement","none")</f>
        <v>none</v>
      </c>
      <c r="I23" s="491">
        <f>IF(B23=2,"[  ]",0)</f>
        <v>0</v>
      </c>
      <c r="J23" s="306"/>
      <c r="K23" s="306"/>
      <c r="L23" s="306"/>
      <c r="M23" s="306"/>
      <c r="N23" s="306"/>
      <c r="O23" s="306"/>
      <c r="P23" s="306"/>
      <c r="Q23" s="199"/>
      <c r="Z23" s="336">
        <f>IF(I23="[  ]","[  ]",1)</f>
        <v>1</v>
      </c>
    </row>
    <row r="24" spans="1:26" x14ac:dyDescent="0.2">
      <c r="A24" s="489" t="s">
        <v>1059</v>
      </c>
      <c r="B24" s="319"/>
      <c r="C24" s="492">
        <v>2</v>
      </c>
      <c r="D24" s="1624" t="s">
        <v>91</v>
      </c>
      <c r="E24" s="1625"/>
      <c r="F24" s="578"/>
      <c r="G24" s="392"/>
      <c r="H24" s="345" t="str">
        <f>IF(B24=2, "Documentation that describes reclaimed water use agreement","none")</f>
        <v>none</v>
      </c>
      <c r="I24" s="491">
        <f>IF(B24=2,"[  ]",0)</f>
        <v>0</v>
      </c>
      <c r="J24" s="306"/>
      <c r="K24" s="306"/>
      <c r="L24" s="306"/>
      <c r="M24" s="306"/>
      <c r="N24" s="306"/>
      <c r="O24" s="306"/>
      <c r="P24" s="306"/>
      <c r="Q24" s="199"/>
      <c r="Z24" s="336">
        <f>IF(I24="[  ]","[  ]",1)</f>
        <v>1</v>
      </c>
    </row>
    <row r="25" spans="1:26" s="97" customFormat="1" ht="10.5" customHeight="1" x14ac:dyDescent="0.2">
      <c r="A25" s="1614"/>
      <c r="B25" s="1615"/>
      <c r="C25" s="1615"/>
      <c r="D25" s="1615"/>
      <c r="E25" s="1615"/>
      <c r="F25" s="1616"/>
      <c r="G25" s="392"/>
      <c r="H25" s="306"/>
      <c r="I25" s="421"/>
      <c r="J25" s="306"/>
      <c r="K25" s="306"/>
      <c r="L25" s="306"/>
      <c r="M25" s="306"/>
      <c r="N25" s="306"/>
      <c r="O25" s="306"/>
      <c r="P25" s="306"/>
      <c r="Q25" s="497"/>
      <c r="Z25" s="498"/>
    </row>
    <row r="26" spans="1:26" ht="16" x14ac:dyDescent="0.2">
      <c r="A26" s="1543" t="s">
        <v>781</v>
      </c>
      <c r="B26" s="1544"/>
      <c r="C26" s="1544"/>
      <c r="D26" s="1544"/>
      <c r="E26" s="1544"/>
      <c r="F26" s="326" t="s">
        <v>762</v>
      </c>
      <c r="H26" s="595" t="s">
        <v>92</v>
      </c>
      <c r="J26" s="445"/>
      <c r="K26" s="306"/>
      <c r="L26" s="306"/>
      <c r="M26" s="306"/>
      <c r="N26" s="306"/>
      <c r="O26" s="306"/>
      <c r="P26" s="306"/>
      <c r="Q26" s="199"/>
    </row>
    <row r="27" spans="1:26" x14ac:dyDescent="0.2">
      <c r="A27" s="496" t="s">
        <v>1060</v>
      </c>
      <c r="B27" s="1059">
        <v>3</v>
      </c>
      <c r="C27" s="1030" t="s">
        <v>1245</v>
      </c>
      <c r="D27" s="1626" t="s">
        <v>1195</v>
      </c>
      <c r="E27" s="1627"/>
      <c r="F27" s="618" t="s">
        <v>1413</v>
      </c>
      <c r="G27" s="737"/>
      <c r="H27" s="922" t="str">
        <f>IF(B27=2,"Inspection by Certifying Agent","none")</f>
        <v>none</v>
      </c>
      <c r="I27" s="493">
        <f>IF(B27=2,"[  ]",0)</f>
        <v>0</v>
      </c>
      <c r="J27" s="306"/>
      <c r="K27" s="306"/>
      <c r="L27" s="306"/>
      <c r="M27" s="306"/>
      <c r="N27" s="306"/>
      <c r="O27" s="306"/>
      <c r="P27" s="306"/>
      <c r="Q27" s="199"/>
      <c r="Z27" s="336">
        <f>IF(I27="[  ]","[  ]",1)</f>
        <v>1</v>
      </c>
    </row>
    <row r="28" spans="1:26" ht="16.25" customHeight="1" x14ac:dyDescent="0.2">
      <c r="A28" s="496" t="s">
        <v>1061</v>
      </c>
      <c r="B28" s="275">
        <f>IF(D29=G98,1,0)+IF(D29=G99,2,0)+IF(D29=G100,3,0)</f>
        <v>0</v>
      </c>
      <c r="C28" s="1031" t="s">
        <v>93</v>
      </c>
      <c r="D28" s="1620" t="s">
        <v>987</v>
      </c>
      <c r="E28" s="1621"/>
      <c r="F28" s="618"/>
      <c r="G28" s="738"/>
      <c r="H28" s="1601" t="str">
        <f>IF(B28&gt;0,"Existing Landscape - Requires landscape inspection by FY&amp;N. Master Gardner, Florida Water Star Certifier or other approved professional.  New Landscape - Landscaping plan and drought tolerant plant list.","none")</f>
        <v>none</v>
      </c>
      <c r="I28" s="491">
        <f>IF(B28&gt;0,"[  ]",0)</f>
        <v>0</v>
      </c>
      <c r="J28" s="306"/>
      <c r="K28" s="306"/>
      <c r="L28" s="306"/>
      <c r="M28" s="306"/>
      <c r="N28" s="306"/>
      <c r="O28" s="306"/>
      <c r="P28" s="306"/>
      <c r="Q28" s="199"/>
      <c r="Z28" s="336">
        <f>IF(I28="[  ]","[  ]",1)</f>
        <v>1</v>
      </c>
    </row>
    <row r="29" spans="1:26" x14ac:dyDescent="0.2">
      <c r="A29" s="1518"/>
      <c r="B29" s="1519"/>
      <c r="C29" s="1519"/>
      <c r="D29" s="285" t="s">
        <v>75</v>
      </c>
      <c r="E29" s="1032" t="s">
        <v>94</v>
      </c>
      <c r="F29" s="578"/>
      <c r="G29" s="735"/>
      <c r="H29" s="1602"/>
      <c r="I29" s="421"/>
      <c r="J29" s="306"/>
      <c r="K29" s="306"/>
      <c r="L29" s="306"/>
      <c r="M29" s="306"/>
      <c r="N29" s="306"/>
      <c r="O29" s="306"/>
      <c r="P29" s="306"/>
      <c r="Q29" s="199"/>
    </row>
    <row r="30" spans="1:26" ht="16.25" customHeight="1" x14ac:dyDescent="0.2">
      <c r="A30" s="489" t="s">
        <v>1062</v>
      </c>
      <c r="B30" s="319"/>
      <c r="C30" s="1030">
        <v>2</v>
      </c>
      <c r="D30" s="1609" t="s">
        <v>977</v>
      </c>
      <c r="E30" s="1610"/>
      <c r="F30" s="578"/>
      <c r="G30" s="737"/>
      <c r="H30" s="931" t="str">
        <f>IF(B30&gt;0,"Requires landscape inspection by FY&amp;N. Master Gardner, Florida Water Star Certifier or other approved professional.","none")</f>
        <v>none</v>
      </c>
      <c r="I30" s="491">
        <f>IF(B30=2,"[  ]",0)</f>
        <v>0</v>
      </c>
      <c r="J30" s="306"/>
      <c r="K30" s="306"/>
      <c r="L30" s="306"/>
      <c r="M30" s="306"/>
      <c r="N30" s="306"/>
      <c r="O30" s="306"/>
      <c r="P30" s="306"/>
      <c r="Q30" s="199"/>
      <c r="Z30" s="336">
        <f t="shared" ref="Z30:Z36" si="0">IF(I30="[  ]","[  ]",1)</f>
        <v>1</v>
      </c>
    </row>
    <row r="31" spans="1:26" x14ac:dyDescent="0.2">
      <c r="A31" s="489" t="s">
        <v>1063</v>
      </c>
      <c r="B31" s="319"/>
      <c r="C31" s="1030">
        <v>3</v>
      </c>
      <c r="D31" s="1586" t="s">
        <v>1394</v>
      </c>
      <c r="E31" s="1587"/>
      <c r="F31" s="618"/>
      <c r="G31" s="392"/>
      <c r="H31" s="922" t="str">
        <f>IF(B31=2,"Landscaping plan and calculation of quantity of turf","none")</f>
        <v>none</v>
      </c>
      <c r="I31" s="499">
        <f>IF(B31=3,"[  ]",0)</f>
        <v>0</v>
      </c>
      <c r="J31" s="306"/>
      <c r="K31" s="306"/>
      <c r="L31" s="306"/>
      <c r="M31" s="306"/>
      <c r="N31" s="306"/>
      <c r="O31" s="306"/>
      <c r="P31" s="306"/>
      <c r="Q31" s="199"/>
      <c r="Z31" s="336">
        <f t="shared" si="0"/>
        <v>1</v>
      </c>
    </row>
    <row r="32" spans="1:26" x14ac:dyDescent="0.2">
      <c r="A32" s="489" t="s">
        <v>1064</v>
      </c>
      <c r="B32" s="319"/>
      <c r="C32" s="1030">
        <v>2</v>
      </c>
      <c r="D32" s="1586" t="s">
        <v>1395</v>
      </c>
      <c r="E32" s="1587"/>
      <c r="F32" s="578"/>
      <c r="G32" s="392"/>
      <c r="H32" s="920" t="str">
        <f>IF(B32=2,"Landscaping plan, photos","none")</f>
        <v>none</v>
      </c>
      <c r="I32" s="493">
        <f>IF(B32=2,"[  ]",0)</f>
        <v>0</v>
      </c>
      <c r="J32" s="306"/>
      <c r="K32" s="306"/>
      <c r="L32" s="306"/>
      <c r="M32" s="306"/>
      <c r="N32" s="306"/>
      <c r="O32" s="306"/>
      <c r="P32" s="306"/>
      <c r="Q32" s="199"/>
      <c r="Z32" s="336">
        <f t="shared" si="0"/>
        <v>1</v>
      </c>
    </row>
    <row r="33" spans="1:26" ht="16" x14ac:dyDescent="0.2">
      <c r="A33" s="489" t="s">
        <v>1065</v>
      </c>
      <c r="B33" s="319"/>
      <c r="C33" s="1030">
        <v>2</v>
      </c>
      <c r="D33" s="1588" t="s">
        <v>979</v>
      </c>
      <c r="E33" s="1589"/>
      <c r="F33" s="586"/>
      <c r="G33" s="737"/>
      <c r="H33" s="930" t="str">
        <f>IF(B33&gt;0,"Requires landscape inspection by FY&amp;N. Master Gardner, Florida Water Star Certifier or other approved professional.","none")</f>
        <v>none</v>
      </c>
      <c r="I33" s="493">
        <f>IF(B33=2,"[  ]",0)</f>
        <v>0</v>
      </c>
      <c r="J33" s="306"/>
      <c r="K33" s="306"/>
      <c r="L33" s="306"/>
      <c r="M33" s="306"/>
      <c r="N33" s="306"/>
      <c r="O33" s="306"/>
      <c r="P33" s="306"/>
      <c r="Q33" s="199"/>
      <c r="Z33" s="336">
        <f t="shared" si="0"/>
        <v>1</v>
      </c>
    </row>
    <row r="34" spans="1:26" x14ac:dyDescent="0.2">
      <c r="A34" s="489" t="s">
        <v>1066</v>
      </c>
      <c r="B34" s="319"/>
      <c r="C34" s="1030">
        <v>1</v>
      </c>
      <c r="D34" s="1584" t="s">
        <v>980</v>
      </c>
      <c r="E34" s="1585"/>
      <c r="F34" s="578"/>
      <c r="G34" s="392"/>
      <c r="H34" s="345" t="str">
        <f>IF(B34=1,"Landscape photo showing mulch","none")</f>
        <v>none</v>
      </c>
      <c r="I34" s="493">
        <f>IF(B34=2,"[  ]",0)</f>
        <v>0</v>
      </c>
      <c r="J34" s="306"/>
      <c r="K34" s="306"/>
      <c r="L34" s="306"/>
      <c r="M34" s="306"/>
      <c r="N34" s="306"/>
      <c r="O34" s="306"/>
      <c r="P34" s="306"/>
      <c r="Q34" s="199"/>
      <c r="Z34" s="336">
        <f t="shared" si="0"/>
        <v>1</v>
      </c>
    </row>
    <row r="35" spans="1:26" x14ac:dyDescent="0.2">
      <c r="A35" s="489" t="s">
        <v>1067</v>
      </c>
      <c r="B35" s="319"/>
      <c r="C35" s="1030">
        <v>1</v>
      </c>
      <c r="D35" s="1584" t="s">
        <v>984</v>
      </c>
      <c r="E35" s="1585"/>
      <c r="F35" s="578"/>
      <c r="G35" s="392"/>
      <c r="H35" s="345" t="str">
        <f>IF(B35=2,"Landscaping plan with mulch type identified and photos","none")</f>
        <v>none</v>
      </c>
      <c r="I35" s="493">
        <f>IF(B35=2,"[  ]",0)</f>
        <v>0</v>
      </c>
      <c r="J35" s="306"/>
      <c r="K35" s="306"/>
      <c r="L35" s="306"/>
      <c r="M35" s="306"/>
      <c r="N35" s="306"/>
      <c r="O35" s="306"/>
      <c r="P35" s="306"/>
      <c r="Q35" s="199"/>
      <c r="Z35" s="336">
        <f t="shared" si="0"/>
        <v>1</v>
      </c>
    </row>
    <row r="36" spans="1:26" hidden="1" x14ac:dyDescent="0.2">
      <c r="A36" s="489" t="s">
        <v>1068</v>
      </c>
      <c r="B36" s="319"/>
      <c r="C36" s="492">
        <v>2</v>
      </c>
      <c r="D36" s="1590" t="s">
        <v>101</v>
      </c>
      <c r="E36" s="1591"/>
      <c r="F36" s="578"/>
      <c r="G36" s="392"/>
      <c r="H36" s="909" t="str">
        <f>IF(B36=2,"Landscaping plan, pre and post pH testing of soil, and verifying that tilling was performed at least 8 inches depth by signing off on affidavit.","none")</f>
        <v>none</v>
      </c>
      <c r="I36" s="491">
        <f>IF(B36=2,"[  ]",0)</f>
        <v>0</v>
      </c>
      <c r="J36" s="306"/>
      <c r="K36" s="306"/>
      <c r="L36" s="306"/>
      <c r="M36" s="306"/>
      <c r="N36" s="306"/>
      <c r="O36" s="306"/>
      <c r="P36" s="306"/>
      <c r="Q36" s="199"/>
      <c r="Z36" s="336">
        <f t="shared" si="0"/>
        <v>1</v>
      </c>
    </row>
    <row r="37" spans="1:26" s="97" customFormat="1" ht="10.5" customHeight="1" x14ac:dyDescent="0.2">
      <c r="A37" s="1614"/>
      <c r="B37" s="1615"/>
      <c r="C37" s="1615"/>
      <c r="D37" s="1615"/>
      <c r="E37" s="1615"/>
      <c r="F37" s="1616"/>
      <c r="G37" s="739"/>
      <c r="H37" s="500"/>
      <c r="I37" s="421"/>
      <c r="J37" s="306"/>
      <c r="K37" s="306"/>
      <c r="L37" s="306"/>
      <c r="M37" s="306"/>
      <c r="N37" s="306"/>
      <c r="O37" s="306"/>
      <c r="P37" s="306"/>
      <c r="Q37" s="497"/>
      <c r="Z37" s="501"/>
    </row>
    <row r="38" spans="1:26" s="129" customFormat="1" ht="16" x14ac:dyDescent="0.2">
      <c r="A38" s="1655" t="s">
        <v>782</v>
      </c>
      <c r="B38" s="1656"/>
      <c r="C38" s="1656"/>
      <c r="D38" s="1656"/>
      <c r="E38" s="1656"/>
      <c r="F38" s="326" t="s">
        <v>762</v>
      </c>
      <c r="G38" s="740"/>
      <c r="H38" s="597" t="s">
        <v>845</v>
      </c>
      <c r="I38" s="421"/>
      <c r="J38" s="306"/>
      <c r="K38" s="306"/>
      <c r="L38" s="306"/>
      <c r="M38" s="306"/>
      <c r="N38" s="306"/>
      <c r="O38" s="306"/>
      <c r="P38" s="306"/>
      <c r="Q38" s="306"/>
      <c r="Z38" s="92"/>
    </row>
    <row r="39" spans="1:26" s="129" customFormat="1" ht="16" x14ac:dyDescent="0.2">
      <c r="A39" s="496" t="s">
        <v>1069</v>
      </c>
      <c r="B39" s="278"/>
      <c r="C39" s="502">
        <v>10</v>
      </c>
      <c r="D39" s="1595" t="s">
        <v>981</v>
      </c>
      <c r="E39" s="1596"/>
      <c r="F39" s="618" t="s">
        <v>1429</v>
      </c>
      <c r="G39" s="737"/>
      <c r="H39" s="596" t="str">
        <f>IF(B39=10,"No Submittal Required","none")</f>
        <v>none</v>
      </c>
      <c r="I39" s="491">
        <f>IF(B39=10,"[  ]",0)</f>
        <v>0</v>
      </c>
      <c r="J39" s="306"/>
      <c r="K39" s="306"/>
      <c r="L39" s="306"/>
      <c r="M39" s="306"/>
      <c r="N39" s="306"/>
      <c r="O39" s="306"/>
      <c r="P39" s="306"/>
      <c r="Q39" s="199"/>
      <c r="Z39" s="92"/>
    </row>
    <row r="40" spans="1:26" ht="16" hidden="1" x14ac:dyDescent="0.2">
      <c r="A40" s="496" t="s">
        <v>1070</v>
      </c>
      <c r="B40" s="319"/>
      <c r="C40" s="492">
        <v>2</v>
      </c>
      <c r="D40" s="1590" t="s">
        <v>103</v>
      </c>
      <c r="E40" s="1591"/>
      <c r="F40" s="578"/>
      <c r="G40" s="392"/>
      <c r="H40" s="596" t="str">
        <f>IF(B40=2,"Cut sheet of innovative equipment installed","none")</f>
        <v>none</v>
      </c>
      <c r="I40" s="333" t="s">
        <v>7</v>
      </c>
      <c r="J40" s="306"/>
      <c r="K40" s="306"/>
      <c r="L40" s="306"/>
      <c r="M40" s="306"/>
      <c r="N40" s="306"/>
      <c r="O40" s="306"/>
      <c r="P40" s="306"/>
      <c r="Q40" s="199"/>
      <c r="Z40" s="336"/>
    </row>
    <row r="41" spans="1:26" ht="10.5" hidden="1" customHeight="1" x14ac:dyDescent="0.2">
      <c r="A41" s="1518"/>
      <c r="B41" s="1519"/>
      <c r="C41" s="1519"/>
      <c r="D41" s="1519"/>
      <c r="E41" s="1519"/>
      <c r="F41" s="578"/>
      <c r="J41" s="129"/>
      <c r="K41" s="129"/>
      <c r="L41" s="129"/>
      <c r="M41" s="129"/>
      <c r="N41" s="129"/>
      <c r="O41" s="129"/>
      <c r="P41" s="129"/>
    </row>
    <row r="42" spans="1:26" hidden="1" x14ac:dyDescent="0.2">
      <c r="A42" s="503" t="s">
        <v>1299</v>
      </c>
      <c r="B42" s="284">
        <f>G128</f>
        <v>0</v>
      </c>
      <c r="C42" s="1030">
        <v>3</v>
      </c>
      <c r="D42" s="1597" t="s">
        <v>982</v>
      </c>
      <c r="E42" s="1598"/>
      <c r="F42" s="578"/>
      <c r="G42" s="737"/>
      <c r="H42" s="1603" t="str">
        <f>IF(B42&gt;0,"REQUIRED, Visual inspection by Certifying Agent, Irrigation system design drawing as installed, irrigation schedule, and operating instructions for homeowner.","none")</f>
        <v>none</v>
      </c>
      <c r="I42" s="880">
        <f>IF(B42&gt;0,"[  ]",0)</f>
        <v>0</v>
      </c>
      <c r="J42" s="306"/>
      <c r="K42" s="306"/>
      <c r="L42" s="306"/>
      <c r="M42" s="306"/>
      <c r="N42" s="306"/>
      <c r="O42" s="306"/>
      <c r="P42" s="306"/>
      <c r="Q42" s="199"/>
      <c r="Z42" s="336">
        <f>IF(I42="[  ]","[  ]",1)</f>
        <v>1</v>
      </c>
    </row>
    <row r="43" spans="1:26" hidden="1" x14ac:dyDescent="0.2">
      <c r="A43" s="1524"/>
      <c r="B43" s="1525"/>
      <c r="C43" s="1526"/>
      <c r="D43" s="319" t="s">
        <v>75</v>
      </c>
      <c r="E43" s="1033" t="s">
        <v>507</v>
      </c>
      <c r="F43" s="578"/>
      <c r="G43" s="484"/>
      <c r="H43" s="1604"/>
      <c r="J43" s="306"/>
      <c r="K43" s="306"/>
      <c r="L43" s="306"/>
      <c r="M43" s="306"/>
      <c r="N43" s="306"/>
      <c r="O43" s="306"/>
      <c r="P43" s="306"/>
      <c r="Q43" s="199"/>
    </row>
    <row r="44" spans="1:26" hidden="1" x14ac:dyDescent="0.2">
      <c r="A44" s="1496"/>
      <c r="B44" s="1365"/>
      <c r="C44" s="1527"/>
      <c r="D44" s="319" t="s">
        <v>75</v>
      </c>
      <c r="E44" s="1033" t="s">
        <v>508</v>
      </c>
      <c r="F44" s="578"/>
      <c r="G44" s="734"/>
      <c r="H44" s="1604"/>
      <c r="J44" s="306"/>
      <c r="K44" s="306"/>
      <c r="L44" s="306"/>
      <c r="M44" s="306"/>
      <c r="N44" s="306"/>
      <c r="O44" s="306"/>
      <c r="P44" s="306"/>
      <c r="Q44" s="199"/>
    </row>
    <row r="45" spans="1:26" hidden="1" x14ac:dyDescent="0.2">
      <c r="A45" s="1496"/>
      <c r="B45" s="1365"/>
      <c r="C45" s="1527"/>
      <c r="D45" s="319" t="s">
        <v>75</v>
      </c>
      <c r="E45" s="1033" t="s">
        <v>509</v>
      </c>
      <c r="F45" s="578"/>
      <c r="G45" s="734"/>
      <c r="H45" s="1604"/>
      <c r="J45" s="306"/>
      <c r="K45" s="306"/>
      <c r="L45" s="306"/>
      <c r="M45" s="306"/>
      <c r="N45" s="306"/>
      <c r="O45" s="306"/>
      <c r="P45" s="306"/>
      <c r="Q45" s="199"/>
    </row>
    <row r="46" spans="1:26" hidden="1" x14ac:dyDescent="0.2">
      <c r="A46" s="1496"/>
      <c r="B46" s="1365"/>
      <c r="C46" s="1527"/>
      <c r="D46" s="319"/>
      <c r="E46" s="1033" t="s">
        <v>983</v>
      </c>
      <c r="F46" s="578"/>
      <c r="G46" s="484"/>
      <c r="H46" s="1604"/>
      <c r="J46" s="306"/>
      <c r="K46" s="306"/>
      <c r="L46" s="306"/>
      <c r="M46" s="306"/>
      <c r="N46" s="306"/>
      <c r="O46" s="306"/>
      <c r="P46" s="306"/>
      <c r="Q46" s="199"/>
    </row>
    <row r="47" spans="1:26" hidden="1" x14ac:dyDescent="0.2">
      <c r="A47" s="1528"/>
      <c r="B47" s="1529"/>
      <c r="C47" s="1530"/>
      <c r="D47" s="319" t="s">
        <v>75</v>
      </c>
      <c r="E47" s="1034" t="s">
        <v>512</v>
      </c>
      <c r="F47" s="578"/>
      <c r="G47" s="525"/>
      <c r="H47" s="1605"/>
      <c r="J47" s="306"/>
      <c r="K47" s="306"/>
      <c r="L47" s="306"/>
      <c r="M47" s="306"/>
      <c r="N47" s="306"/>
      <c r="O47" s="306"/>
      <c r="P47" s="306"/>
      <c r="Q47" s="199"/>
    </row>
    <row r="48" spans="1:26" hidden="1" x14ac:dyDescent="0.2">
      <c r="A48" s="1611" t="s">
        <v>365</v>
      </c>
      <c r="B48" s="1612"/>
      <c r="C48" s="1613"/>
      <c r="D48" s="1235"/>
      <c r="E48" s="1236"/>
      <c r="F48" s="1224"/>
      <c r="G48" s="525"/>
      <c r="H48" s="1237"/>
      <c r="J48" s="765"/>
      <c r="K48" s="765"/>
      <c r="L48" s="765"/>
      <c r="M48" s="765"/>
      <c r="N48" s="765"/>
      <c r="O48" s="765"/>
      <c r="P48" s="765"/>
      <c r="Q48" s="199"/>
    </row>
    <row r="49" spans="1:28" hidden="1" x14ac:dyDescent="0.2">
      <c r="A49" s="503" t="s">
        <v>1300</v>
      </c>
      <c r="B49" s="284">
        <f>G129</f>
        <v>0</v>
      </c>
      <c r="C49" s="1030">
        <v>5</v>
      </c>
      <c r="D49" s="1597" t="s">
        <v>1301</v>
      </c>
      <c r="E49" s="1598"/>
      <c r="F49" s="1224"/>
      <c r="G49" s="525"/>
      <c r="H49" s="1237"/>
      <c r="J49" s="765"/>
      <c r="K49" s="765"/>
      <c r="L49" s="765"/>
      <c r="M49" s="765"/>
      <c r="N49" s="765"/>
      <c r="O49" s="765"/>
      <c r="P49" s="765"/>
      <c r="Q49" s="199"/>
    </row>
    <row r="50" spans="1:28" hidden="1" x14ac:dyDescent="0.2">
      <c r="A50" s="1524"/>
      <c r="B50" s="1525"/>
      <c r="C50" s="1526"/>
      <c r="D50" s="1219"/>
      <c r="E50" s="1213" t="s">
        <v>1302</v>
      </c>
      <c r="F50" s="1224"/>
      <c r="G50" s="525"/>
      <c r="H50" s="1237"/>
      <c r="J50" s="765"/>
      <c r="K50" s="765"/>
      <c r="L50" s="765"/>
      <c r="M50" s="765"/>
      <c r="N50" s="765"/>
      <c r="O50" s="765"/>
      <c r="P50" s="765"/>
      <c r="Q50" s="199"/>
    </row>
    <row r="51" spans="1:28" hidden="1" x14ac:dyDescent="0.2">
      <c r="A51" s="1496"/>
      <c r="B51" s="1365"/>
      <c r="C51" s="1527"/>
      <c r="D51" s="1219"/>
      <c r="E51" s="1213" t="s">
        <v>1303</v>
      </c>
      <c r="F51" s="1224"/>
      <c r="G51" s="525"/>
      <c r="H51" s="1237"/>
      <c r="J51" s="765"/>
      <c r="K51" s="765"/>
      <c r="L51" s="765"/>
      <c r="M51" s="765"/>
      <c r="N51" s="765"/>
      <c r="O51" s="765"/>
      <c r="P51" s="765"/>
      <c r="Q51" s="199"/>
    </row>
    <row r="52" spans="1:28" hidden="1" x14ac:dyDescent="0.2">
      <c r="A52" s="1528"/>
      <c r="B52" s="1529"/>
      <c r="C52" s="1530"/>
      <c r="D52" s="1219"/>
      <c r="E52" s="1213" t="s">
        <v>1304</v>
      </c>
      <c r="F52" s="1224"/>
      <c r="G52" s="525"/>
      <c r="H52" s="1237"/>
      <c r="J52" s="765"/>
      <c r="K52" s="765"/>
      <c r="L52" s="765"/>
      <c r="M52" s="765"/>
      <c r="N52" s="765"/>
      <c r="O52" s="765"/>
      <c r="P52" s="765"/>
      <c r="Q52" s="199"/>
    </row>
    <row r="53" spans="1:28" ht="10.5" hidden="1" customHeight="1" x14ac:dyDescent="0.2">
      <c r="A53" s="1592"/>
      <c r="B53" s="1593"/>
      <c r="C53" s="1594"/>
      <c r="D53" s="1594"/>
      <c r="E53" s="1594"/>
      <c r="F53" s="578"/>
      <c r="G53" s="488"/>
      <c r="H53" s="464"/>
      <c r="J53" s="306"/>
      <c r="K53" s="306"/>
      <c r="L53" s="306"/>
      <c r="M53" s="306"/>
      <c r="N53" s="306"/>
      <c r="O53" s="306"/>
      <c r="P53" s="306"/>
      <c r="Q53" s="199"/>
    </row>
    <row r="54" spans="1:28" hidden="1" x14ac:dyDescent="0.2">
      <c r="A54" s="503" t="s">
        <v>1071</v>
      </c>
      <c r="B54" s="1219"/>
      <c r="C54" s="1030">
        <v>1</v>
      </c>
      <c r="D54" s="1511" t="s">
        <v>1305</v>
      </c>
      <c r="E54" s="1511"/>
      <c r="F54" s="585"/>
      <c r="H54" s="897"/>
      <c r="J54" s="306"/>
      <c r="K54" s="306"/>
      <c r="L54" s="306"/>
      <c r="M54" s="306"/>
      <c r="N54" s="306"/>
      <c r="O54" s="306"/>
      <c r="P54" s="306"/>
      <c r="Q54" s="199"/>
    </row>
    <row r="55" spans="1:28" ht="16" hidden="1" x14ac:dyDescent="0.2">
      <c r="A55" s="496" t="s">
        <v>1072</v>
      </c>
      <c r="B55" s="278"/>
      <c r="C55" s="1035">
        <v>1</v>
      </c>
      <c r="D55" s="1597" t="s">
        <v>446</v>
      </c>
      <c r="E55" s="1598"/>
      <c r="F55" s="585"/>
      <c r="G55" s="484"/>
      <c r="H55" s="926" t="str">
        <f>IF(B55=1,"Visual inspection by Certifying Agent plus either and irrigation system design drawing as installed indicating check valve location or photo of sloping area and installed check valve.","none")</f>
        <v>none</v>
      </c>
      <c r="J55" s="765"/>
      <c r="K55" s="765"/>
      <c r="L55" s="765"/>
      <c r="M55" s="765"/>
      <c r="N55" s="765"/>
      <c r="O55" s="765"/>
      <c r="P55" s="765"/>
      <c r="Q55" s="199"/>
    </row>
    <row r="56" spans="1:28" hidden="1" x14ac:dyDescent="0.2">
      <c r="A56" s="496" t="s">
        <v>1073</v>
      </c>
      <c r="B56" s="278"/>
      <c r="C56" s="1030">
        <v>1</v>
      </c>
      <c r="D56" s="1584" t="s">
        <v>962</v>
      </c>
      <c r="E56" s="1585"/>
      <c r="F56" s="585"/>
      <c r="G56" s="484"/>
      <c r="H56" s="919" t="str">
        <f>IF(B56=1,"Visual inspection by Certifying Agent","none")</f>
        <v>none</v>
      </c>
      <c r="J56" s="765"/>
      <c r="K56" s="765"/>
      <c r="L56" s="765"/>
      <c r="M56" s="765"/>
      <c r="N56" s="765"/>
      <c r="O56" s="765"/>
      <c r="P56" s="765"/>
      <c r="Q56" s="199"/>
    </row>
    <row r="57" spans="1:28" hidden="1" x14ac:dyDescent="0.2">
      <c r="A57" s="496" t="s">
        <v>1074</v>
      </c>
      <c r="B57" s="895"/>
      <c r="C57" s="1035">
        <v>1</v>
      </c>
      <c r="D57" s="1584" t="s">
        <v>965</v>
      </c>
      <c r="E57" s="1585"/>
      <c r="F57" s="585"/>
      <c r="G57" s="484"/>
      <c r="H57" s="918" t="str">
        <f>IF(B57=1,"Visual inspection by Certifying Agent","none")</f>
        <v>none</v>
      </c>
      <c r="J57" s="765"/>
      <c r="K57" s="765"/>
      <c r="L57" s="765"/>
      <c r="M57" s="765"/>
      <c r="N57" s="765"/>
      <c r="O57" s="765"/>
      <c r="P57" s="765"/>
      <c r="Q57" s="199"/>
    </row>
    <row r="58" spans="1:28" ht="10.5" hidden="1" customHeight="1" x14ac:dyDescent="0.2">
      <c r="A58" s="1515"/>
      <c r="B58" s="1516"/>
      <c r="C58" s="1516"/>
      <c r="D58" s="1516"/>
      <c r="E58" s="1516"/>
      <c r="F58" s="1517"/>
      <c r="G58" s="484"/>
      <c r="H58" s="199"/>
      <c r="J58" s="306"/>
      <c r="K58" s="306"/>
      <c r="L58" s="306"/>
      <c r="M58" s="306"/>
      <c r="N58" s="306"/>
      <c r="O58" s="306"/>
      <c r="P58" s="306"/>
      <c r="Q58" s="199"/>
    </row>
    <row r="59" spans="1:28" ht="16" hidden="1" x14ac:dyDescent="0.2">
      <c r="A59" s="1655" t="s">
        <v>783</v>
      </c>
      <c r="B59" s="1656"/>
      <c r="C59" s="1656"/>
      <c r="D59" s="1656"/>
      <c r="E59" s="1656"/>
      <c r="F59" s="326" t="s">
        <v>762</v>
      </c>
      <c r="H59" s="598" t="s">
        <v>846</v>
      </c>
      <c r="I59" s="18"/>
      <c r="J59" s="23"/>
      <c r="K59" s="23"/>
      <c r="L59" s="23"/>
      <c r="M59" s="23"/>
      <c r="N59" s="23"/>
      <c r="O59" s="23"/>
      <c r="P59" s="23"/>
      <c r="Q59" s="18"/>
      <c r="Z59" s="18"/>
      <c r="AA59" s="18"/>
      <c r="AB59" s="18"/>
    </row>
    <row r="60" spans="1:28" ht="17" hidden="1" x14ac:dyDescent="0.2">
      <c r="A60" s="503" t="s">
        <v>1075</v>
      </c>
      <c r="B60" s="319"/>
      <c r="C60" s="492">
        <v>5</v>
      </c>
      <c r="D60" s="1653" t="s">
        <v>986</v>
      </c>
      <c r="E60" s="1654"/>
      <c r="F60" s="578"/>
      <c r="G60" s="734"/>
      <c r="H60" s="921" t="str">
        <f>IF(B60=5,"Signature, letter, or certificate showing completion of standard","none")</f>
        <v>none</v>
      </c>
      <c r="I60" s="491">
        <f>IF(B60=5,"[  ]",0)</f>
        <v>0</v>
      </c>
      <c r="J60" s="306"/>
      <c r="K60" s="306"/>
      <c r="L60" s="306"/>
      <c r="M60" s="306"/>
      <c r="N60" s="306"/>
      <c r="O60" s="306"/>
      <c r="P60" s="306"/>
      <c r="Q60" s="199"/>
      <c r="Z60" s="336">
        <f>IF(I60="[  ]","[  ]",1)</f>
        <v>1</v>
      </c>
    </row>
    <row r="61" spans="1:28" ht="14.75" hidden="1" customHeight="1" x14ac:dyDescent="0.2">
      <c r="A61" s="503" t="s">
        <v>1076</v>
      </c>
      <c r="B61" s="319"/>
      <c r="C61" s="492">
        <v>2</v>
      </c>
      <c r="D61" s="1645" t="s">
        <v>985</v>
      </c>
      <c r="E61" s="1646"/>
      <c r="F61" s="618"/>
      <c r="G61" s="736"/>
      <c r="H61" s="921" t="str">
        <f>IF(B61=2,"FFL certification","none")</f>
        <v>none</v>
      </c>
      <c r="I61" s="491"/>
      <c r="J61" s="306"/>
      <c r="K61" s="306"/>
      <c r="L61" s="306"/>
      <c r="M61" s="306"/>
      <c r="N61" s="306"/>
      <c r="O61" s="306"/>
      <c r="P61" s="306"/>
      <c r="Q61" s="199"/>
      <c r="Z61" s="336"/>
    </row>
    <row r="62" spans="1:28" hidden="1" x14ac:dyDescent="0.2">
      <c r="A62" s="1518"/>
      <c r="B62" s="275">
        <f>SUM(B6:B12,B15:B15,B18,B21:B24,B27:B28,B30:B36,B39:B40,B42,B49,B54,B55:B57,B60:B61)</f>
        <v>12</v>
      </c>
      <c r="C62" s="504">
        <v>56</v>
      </c>
      <c r="D62" s="1647" t="s">
        <v>943</v>
      </c>
      <c r="E62" s="1648"/>
      <c r="F62" s="1649"/>
      <c r="H62" s="25"/>
      <c r="I62" s="18"/>
      <c r="J62" s="18"/>
      <c r="K62" s="18"/>
      <c r="L62" s="18"/>
      <c r="M62" s="18"/>
      <c r="N62" s="18"/>
      <c r="O62" s="18"/>
      <c r="P62" s="18"/>
      <c r="Q62" s="18"/>
      <c r="R62" s="18"/>
      <c r="S62" s="18"/>
      <c r="T62" s="18"/>
      <c r="U62" s="18"/>
      <c r="V62" s="18"/>
      <c r="W62" s="18"/>
      <c r="X62" s="18"/>
      <c r="Y62" s="18"/>
      <c r="Z62" s="18"/>
      <c r="AA62" s="18"/>
      <c r="AB62" s="18"/>
    </row>
    <row r="63" spans="1:28" ht="10.5" hidden="1" customHeight="1" x14ac:dyDescent="0.2">
      <c r="A63" s="1515"/>
      <c r="B63" s="1652"/>
      <c r="C63" s="1519"/>
      <c r="D63" s="1519"/>
      <c r="E63" s="1519"/>
      <c r="F63" s="1649"/>
      <c r="H63" s="25"/>
      <c r="I63" s="18"/>
      <c r="J63" s="18"/>
      <c r="K63" s="18"/>
      <c r="L63" s="18"/>
      <c r="M63" s="18"/>
      <c r="N63" s="18"/>
      <c r="O63" s="18"/>
      <c r="P63" s="18"/>
      <c r="Q63" s="18"/>
      <c r="R63" s="18"/>
      <c r="S63" s="18"/>
      <c r="T63" s="18"/>
      <c r="U63" s="18"/>
      <c r="V63" s="18"/>
      <c r="W63" s="18"/>
      <c r="X63" s="18"/>
      <c r="Y63" s="18"/>
      <c r="Z63" s="18"/>
      <c r="AA63" s="18"/>
      <c r="AB63" s="18"/>
    </row>
    <row r="64" spans="1:28" ht="19" x14ac:dyDescent="0.25">
      <c r="A64" s="1651"/>
      <c r="B64" s="276">
        <f>IF(B62&gt;40,40,B62)</f>
        <v>12</v>
      </c>
      <c r="C64" s="505" t="s">
        <v>112</v>
      </c>
      <c r="D64" s="505"/>
      <c r="E64" s="505"/>
      <c r="F64" s="1649"/>
      <c r="G64" s="731"/>
      <c r="H64" s="145"/>
      <c r="I64" s="18"/>
      <c r="J64" s="18"/>
      <c r="K64" s="18"/>
      <c r="L64" s="18"/>
      <c r="M64" s="18"/>
      <c r="N64" s="18"/>
      <c r="O64" s="18"/>
      <c r="P64" s="18"/>
      <c r="Q64" s="18"/>
      <c r="R64" s="18"/>
      <c r="S64" s="18"/>
      <c r="T64" s="18"/>
      <c r="U64" s="18"/>
      <c r="V64" s="18"/>
      <c r="W64" s="18"/>
      <c r="X64" s="18"/>
      <c r="Y64" s="18"/>
      <c r="Z64" s="18"/>
      <c r="AA64" s="18"/>
      <c r="AB64" s="18"/>
    </row>
    <row r="65" spans="1:28" ht="10.5" customHeight="1" x14ac:dyDescent="0.2">
      <c r="A65" s="506"/>
      <c r="B65" s="1558"/>
      <c r="C65" s="1516"/>
      <c r="D65" s="1516"/>
      <c r="E65" s="1559"/>
      <c r="F65" s="1649"/>
      <c r="G65" s="731"/>
      <c r="H65" s="145"/>
      <c r="I65" s="18"/>
      <c r="J65" s="18"/>
      <c r="K65" s="18"/>
      <c r="L65" s="18"/>
      <c r="M65" s="18"/>
      <c r="N65" s="18"/>
      <c r="O65" s="18"/>
      <c r="P65" s="18"/>
      <c r="Q65" s="18"/>
      <c r="R65" s="18"/>
      <c r="S65" s="18"/>
      <c r="T65" s="18"/>
      <c r="U65" s="18"/>
      <c r="V65" s="18"/>
      <c r="W65" s="18"/>
      <c r="X65" s="18"/>
      <c r="Y65" s="18"/>
      <c r="Z65" s="18"/>
      <c r="AA65" s="18"/>
      <c r="AB65" s="18"/>
    </row>
    <row r="66" spans="1:28" x14ac:dyDescent="0.2">
      <c r="A66" s="1639" t="s">
        <v>113</v>
      </c>
      <c r="B66" s="1640"/>
      <c r="C66" s="1640"/>
      <c r="D66" s="1641"/>
      <c r="E66" s="287"/>
      <c r="F66" s="1649"/>
      <c r="G66" s="624"/>
      <c r="H66" s="122"/>
      <c r="I66" s="18"/>
      <c r="J66" s="18"/>
      <c r="K66" s="18"/>
      <c r="L66" s="18"/>
      <c r="M66" s="18"/>
      <c r="N66" s="18"/>
      <c r="O66" s="18"/>
      <c r="P66" s="18"/>
      <c r="Q66" s="18"/>
      <c r="R66" s="18"/>
      <c r="S66" s="18"/>
      <c r="T66" s="18"/>
      <c r="U66" s="18"/>
      <c r="V66" s="18"/>
      <c r="W66" s="18"/>
      <c r="X66" s="18"/>
      <c r="Y66" s="18"/>
      <c r="Z66" s="18"/>
      <c r="AA66" s="18"/>
      <c r="AB66" s="18"/>
    </row>
    <row r="67" spans="1:28" x14ac:dyDescent="0.2">
      <c r="A67" s="1642" t="s">
        <v>784</v>
      </c>
      <c r="B67" s="1643"/>
      <c r="C67" s="1643"/>
      <c r="D67" s="1644"/>
      <c r="E67" s="286"/>
      <c r="F67" s="1649"/>
      <c r="G67" s="484"/>
      <c r="H67" s="419"/>
      <c r="I67" s="18"/>
      <c r="J67" s="18"/>
      <c r="K67" s="18"/>
      <c r="L67" s="18"/>
      <c r="M67" s="18"/>
      <c r="N67" s="18"/>
      <c r="O67" s="18"/>
      <c r="P67" s="18"/>
      <c r="Q67" s="18"/>
      <c r="R67" s="18"/>
      <c r="S67" s="18"/>
      <c r="T67" s="18"/>
      <c r="U67" s="18"/>
      <c r="V67" s="18"/>
      <c r="W67" s="18"/>
      <c r="X67" s="18"/>
      <c r="Y67" s="18"/>
      <c r="Z67" s="18"/>
      <c r="AA67" s="18"/>
      <c r="AB67" s="18"/>
    </row>
    <row r="68" spans="1:28" s="509" customFormat="1" ht="17" thickBot="1" x14ac:dyDescent="0.25">
      <c r="A68" s="1636" t="s">
        <v>494</v>
      </c>
      <c r="B68" s="1637"/>
      <c r="C68" s="1637"/>
      <c r="D68" s="1638"/>
      <c r="E68" s="515"/>
      <c r="F68" s="1650"/>
      <c r="G68" s="741"/>
      <c r="H68" s="507"/>
      <c r="I68" s="508"/>
      <c r="J68" s="508"/>
      <c r="K68" s="508"/>
      <c r="L68" s="508"/>
      <c r="M68" s="508"/>
      <c r="N68" s="508"/>
      <c r="O68" s="508"/>
      <c r="P68" s="508"/>
      <c r="Q68" s="508"/>
      <c r="R68" s="508"/>
      <c r="S68" s="508"/>
      <c r="T68" s="508"/>
      <c r="U68" s="508"/>
      <c r="V68" s="508"/>
      <c r="W68" s="508"/>
      <c r="X68" s="508"/>
      <c r="Y68" s="508"/>
      <c r="Z68" s="508"/>
      <c r="AA68" s="508"/>
      <c r="AB68" s="508"/>
    </row>
    <row r="69" spans="1:28" x14ac:dyDescent="0.2">
      <c r="C69" s="318"/>
      <c r="D69" s="318"/>
      <c r="F69" s="113"/>
      <c r="G69" s="779"/>
      <c r="H69" s="896"/>
      <c r="I69" s="18"/>
      <c r="J69" s="18"/>
      <c r="K69" s="18"/>
      <c r="L69" s="18"/>
      <c r="M69" s="18"/>
      <c r="N69" s="18"/>
      <c r="O69" s="18"/>
      <c r="P69" s="18"/>
      <c r="Q69" s="18"/>
      <c r="R69" s="18"/>
      <c r="S69" s="18"/>
      <c r="T69" s="18"/>
      <c r="U69" s="18"/>
      <c r="V69" s="18"/>
      <c r="W69" s="18"/>
      <c r="X69" s="18"/>
      <c r="Y69" s="18"/>
      <c r="Z69" s="18"/>
      <c r="AA69" s="18"/>
      <c r="AB69" s="18"/>
    </row>
    <row r="70" spans="1:28" x14ac:dyDescent="0.2">
      <c r="F70" s="452"/>
      <c r="G70" s="510" t="s">
        <v>7</v>
      </c>
      <c r="H70" s="896"/>
      <c r="I70" s="18"/>
      <c r="J70" s="18"/>
      <c r="K70" s="18"/>
      <c r="L70" s="18"/>
      <c r="M70" s="18"/>
      <c r="N70" s="18"/>
      <c r="O70" s="18"/>
      <c r="P70" s="18"/>
      <c r="Q70" s="18"/>
      <c r="R70" s="18"/>
      <c r="S70" s="18"/>
      <c r="T70" s="18"/>
      <c r="U70" s="18"/>
      <c r="V70" s="18"/>
      <c r="W70" s="18"/>
      <c r="X70" s="18"/>
      <c r="Y70" s="18"/>
      <c r="Z70" s="18"/>
      <c r="AA70" s="18"/>
      <c r="AB70" s="18"/>
    </row>
    <row r="71" spans="1:28" x14ac:dyDescent="0.2">
      <c r="F71" s="452"/>
      <c r="G71" s="510" t="s">
        <v>22</v>
      </c>
      <c r="H71" s="896"/>
      <c r="I71" s="18"/>
      <c r="J71" s="18"/>
      <c r="K71" s="18"/>
      <c r="L71" s="18"/>
      <c r="M71" s="18"/>
      <c r="N71" s="18"/>
      <c r="O71" s="18"/>
      <c r="P71" s="18"/>
      <c r="Q71" s="18"/>
      <c r="R71" s="18"/>
      <c r="S71" s="18"/>
      <c r="T71" s="18"/>
      <c r="U71" s="18"/>
      <c r="V71" s="18"/>
      <c r="W71" s="18"/>
      <c r="X71" s="18"/>
      <c r="Y71" s="18"/>
      <c r="Z71" s="18"/>
      <c r="AA71" s="18"/>
      <c r="AB71" s="18"/>
    </row>
    <row r="72" spans="1:28" ht="16" x14ac:dyDescent="0.2">
      <c r="B72" s="511"/>
      <c r="F72" s="452"/>
      <c r="G72" s="510" t="s">
        <v>21</v>
      </c>
      <c r="H72" s="462"/>
      <c r="I72" s="18"/>
      <c r="J72" s="18"/>
      <c r="K72" s="18"/>
      <c r="L72" s="18"/>
      <c r="M72" s="18"/>
      <c r="N72" s="18"/>
      <c r="O72" s="18"/>
      <c r="P72" s="18"/>
      <c r="Q72" s="18"/>
      <c r="R72" s="18"/>
      <c r="S72" s="18"/>
      <c r="T72" s="18"/>
      <c r="U72" s="18"/>
      <c r="V72" s="18"/>
      <c r="W72" s="18"/>
      <c r="X72" s="18"/>
      <c r="Y72" s="18"/>
      <c r="Z72" s="18"/>
      <c r="AA72" s="18"/>
      <c r="AB72" s="18"/>
    </row>
    <row r="73" spans="1:28" ht="16" x14ac:dyDescent="0.2">
      <c r="B73" s="512"/>
      <c r="F73" s="452"/>
      <c r="G73" s="510"/>
      <c r="H73" s="462"/>
      <c r="I73" s="18"/>
      <c r="J73" s="18"/>
      <c r="K73" s="18"/>
      <c r="L73" s="18"/>
      <c r="M73" s="18"/>
      <c r="N73" s="18"/>
      <c r="O73" s="18"/>
      <c r="P73" s="18"/>
      <c r="Q73" s="18"/>
      <c r="R73" s="18"/>
      <c r="S73" s="18"/>
      <c r="T73" s="18"/>
      <c r="U73" s="18"/>
      <c r="V73" s="18"/>
      <c r="W73" s="18"/>
      <c r="X73" s="18"/>
      <c r="Y73" s="18"/>
      <c r="Z73" s="18"/>
      <c r="AA73" s="18"/>
      <c r="AB73" s="18"/>
    </row>
    <row r="74" spans="1:28" ht="16" x14ac:dyDescent="0.2">
      <c r="B74" s="513"/>
      <c r="F74" s="452"/>
      <c r="G74" s="510"/>
      <c r="H74" s="462"/>
      <c r="I74" s="18"/>
      <c r="J74" s="18"/>
      <c r="K74" s="18"/>
      <c r="L74" s="18"/>
      <c r="M74" s="18"/>
      <c r="N74" s="18"/>
      <c r="O74" s="18"/>
      <c r="P74" s="18"/>
      <c r="Q74" s="18"/>
      <c r="R74" s="18"/>
      <c r="S74" s="18"/>
      <c r="T74" s="18"/>
      <c r="U74" s="18"/>
      <c r="V74" s="18"/>
      <c r="W74" s="18"/>
      <c r="X74" s="18"/>
      <c r="Y74" s="18"/>
      <c r="Z74" s="18"/>
      <c r="AA74" s="18"/>
      <c r="AB74" s="18"/>
    </row>
    <row r="75" spans="1:28" x14ac:dyDescent="0.2">
      <c r="B75" s="273"/>
      <c r="F75" s="452"/>
      <c r="G75" s="510"/>
      <c r="H75" s="462"/>
      <c r="I75" s="18"/>
      <c r="J75" s="18"/>
      <c r="K75" s="18"/>
      <c r="L75" s="18"/>
      <c r="M75" s="18"/>
      <c r="N75" s="18"/>
      <c r="O75" s="18"/>
      <c r="P75" s="18"/>
      <c r="Q75" s="18"/>
      <c r="R75" s="18"/>
      <c r="S75" s="18"/>
      <c r="T75" s="18"/>
      <c r="U75" s="18"/>
      <c r="V75" s="18"/>
      <c r="W75" s="18"/>
      <c r="X75" s="18"/>
      <c r="Y75" s="18"/>
      <c r="Z75" s="18"/>
      <c r="AA75" s="18"/>
      <c r="AB75" s="18"/>
    </row>
    <row r="76" spans="1:28" ht="16" x14ac:dyDescent="0.2">
      <c r="B76" s="512"/>
      <c r="F76" s="452"/>
      <c r="G76" s="510"/>
      <c r="H76" s="462"/>
      <c r="I76" s="18"/>
      <c r="J76" s="18"/>
      <c r="K76" s="18"/>
      <c r="L76" s="18"/>
      <c r="M76" s="18"/>
      <c r="N76" s="18"/>
      <c r="O76" s="18"/>
      <c r="P76" s="18"/>
      <c r="Q76" s="18"/>
      <c r="R76" s="18"/>
      <c r="S76" s="18"/>
      <c r="T76" s="18"/>
      <c r="U76" s="18"/>
      <c r="V76" s="18"/>
      <c r="W76" s="18"/>
      <c r="X76" s="18"/>
      <c r="Y76" s="18"/>
      <c r="Z76" s="18"/>
      <c r="AA76" s="18"/>
      <c r="AB76" s="18"/>
    </row>
    <row r="77" spans="1:28" ht="16" x14ac:dyDescent="0.2">
      <c r="B77" s="512"/>
      <c r="F77" s="452"/>
      <c r="G77" s="510" t="s">
        <v>7</v>
      </c>
      <c r="H77" s="462"/>
      <c r="I77" s="18"/>
      <c r="J77" s="18"/>
      <c r="K77" s="18"/>
      <c r="L77" s="18"/>
      <c r="M77" s="18"/>
      <c r="N77" s="18"/>
      <c r="O77" s="18"/>
      <c r="P77" s="18"/>
      <c r="Q77" s="18"/>
      <c r="R77" s="18"/>
      <c r="S77" s="18"/>
      <c r="T77" s="18"/>
      <c r="U77" s="18"/>
      <c r="V77" s="18"/>
      <c r="W77" s="18"/>
      <c r="X77" s="18"/>
      <c r="Y77" s="18"/>
      <c r="Z77" s="18"/>
      <c r="AA77" s="18"/>
      <c r="AB77" s="18"/>
    </row>
    <row r="78" spans="1:28" ht="16" x14ac:dyDescent="0.2">
      <c r="B78" s="512"/>
      <c r="F78" s="452"/>
      <c r="G78" s="510" t="s">
        <v>75</v>
      </c>
      <c r="H78" s="462"/>
      <c r="I78" s="18"/>
      <c r="J78" s="18"/>
      <c r="K78" s="18"/>
      <c r="L78" s="18"/>
      <c r="M78" s="18"/>
      <c r="N78" s="18"/>
      <c r="O78" s="18"/>
      <c r="P78" s="18"/>
      <c r="Q78" s="18"/>
      <c r="R78" s="18"/>
      <c r="S78" s="18"/>
      <c r="T78" s="18"/>
      <c r="U78" s="18"/>
      <c r="V78" s="18"/>
      <c r="W78" s="18"/>
      <c r="X78" s="18"/>
      <c r="Y78" s="18"/>
      <c r="Z78" s="18"/>
      <c r="AA78" s="18"/>
      <c r="AB78" s="18"/>
    </row>
    <row r="79" spans="1:28" ht="16" x14ac:dyDescent="0.2">
      <c r="B79" s="513"/>
      <c r="F79" s="462"/>
      <c r="G79" s="510" t="s">
        <v>495</v>
      </c>
      <c r="H79" s="462"/>
      <c r="I79" s="18"/>
      <c r="J79" s="18"/>
      <c r="K79" s="18"/>
      <c r="L79" s="18"/>
      <c r="M79" s="18"/>
      <c r="N79" s="18"/>
      <c r="O79" s="18"/>
      <c r="P79" s="18"/>
      <c r="Q79" s="18"/>
      <c r="R79" s="18"/>
      <c r="S79" s="18"/>
      <c r="T79" s="18"/>
      <c r="U79" s="18"/>
      <c r="V79" s="18"/>
      <c r="W79" s="18"/>
      <c r="X79" s="18"/>
      <c r="Y79" s="18"/>
      <c r="Z79" s="18"/>
      <c r="AA79" s="18"/>
      <c r="AB79" s="18"/>
    </row>
    <row r="80" spans="1:28" ht="16" x14ac:dyDescent="0.2">
      <c r="B80" s="512"/>
      <c r="F80" s="462"/>
      <c r="G80" s="510">
        <v>2</v>
      </c>
      <c r="H80" s="462"/>
      <c r="I80" s="18"/>
      <c r="J80" s="18"/>
      <c r="K80" s="18"/>
      <c r="L80" s="18"/>
      <c r="M80" s="18"/>
      <c r="N80" s="18"/>
      <c r="O80" s="18"/>
      <c r="P80" s="18"/>
      <c r="Q80" s="18"/>
      <c r="R80" s="18"/>
      <c r="S80" s="18"/>
      <c r="T80" s="18"/>
      <c r="U80" s="18"/>
      <c r="V80" s="18"/>
      <c r="W80" s="18"/>
      <c r="X80" s="18"/>
      <c r="Y80" s="18"/>
      <c r="Z80" s="18"/>
      <c r="AA80" s="18"/>
      <c r="AB80" s="18"/>
    </row>
    <row r="81" spans="2:28" ht="16" x14ac:dyDescent="0.2">
      <c r="B81" s="513"/>
      <c r="F81" s="462"/>
      <c r="G81" s="510">
        <v>3</v>
      </c>
      <c r="H81" s="462"/>
      <c r="I81" s="18"/>
      <c r="J81" s="18"/>
      <c r="K81" s="18"/>
      <c r="L81" s="18"/>
      <c r="M81" s="18"/>
      <c r="N81" s="18"/>
      <c r="O81" s="18"/>
      <c r="P81" s="18"/>
      <c r="Q81" s="18"/>
      <c r="R81" s="18"/>
      <c r="S81" s="18"/>
      <c r="T81" s="18"/>
      <c r="U81" s="18"/>
      <c r="V81" s="18"/>
      <c r="W81" s="18"/>
      <c r="X81" s="18"/>
      <c r="Y81" s="18"/>
      <c r="Z81" s="18"/>
      <c r="AA81" s="18"/>
      <c r="AB81" s="18"/>
    </row>
    <row r="82" spans="2:28" ht="16" x14ac:dyDescent="0.2">
      <c r="B82" s="512"/>
      <c r="F82" s="462"/>
      <c r="G82" s="510"/>
      <c r="H82" s="462"/>
      <c r="I82" s="18"/>
      <c r="J82" s="18"/>
      <c r="K82" s="18"/>
      <c r="L82" s="18"/>
      <c r="M82" s="18"/>
      <c r="N82" s="18"/>
      <c r="O82" s="18"/>
      <c r="P82" s="18"/>
      <c r="Q82" s="18"/>
      <c r="R82" s="18"/>
      <c r="S82" s="18"/>
      <c r="T82" s="18"/>
      <c r="U82" s="18"/>
      <c r="V82" s="18"/>
      <c r="W82" s="18"/>
      <c r="X82" s="18"/>
      <c r="Y82" s="18"/>
      <c r="Z82" s="18"/>
      <c r="AA82" s="18"/>
      <c r="AB82" s="18"/>
    </row>
    <row r="83" spans="2:28" ht="16" x14ac:dyDescent="0.2">
      <c r="B83" s="513"/>
      <c r="F83" s="462"/>
      <c r="G83" s="510" t="s">
        <v>7</v>
      </c>
      <c r="H83" s="462"/>
      <c r="I83" s="18"/>
      <c r="J83" s="18"/>
      <c r="K83" s="18"/>
      <c r="L83" s="18"/>
      <c r="M83" s="18"/>
      <c r="N83" s="18"/>
      <c r="O83" s="18"/>
      <c r="P83" s="18"/>
      <c r="Q83" s="18"/>
      <c r="R83" s="18"/>
      <c r="S83" s="18"/>
      <c r="T83" s="18"/>
      <c r="U83" s="18"/>
      <c r="V83" s="18"/>
      <c r="W83" s="18"/>
      <c r="X83" s="18"/>
      <c r="Y83" s="18"/>
      <c r="Z83" s="18"/>
      <c r="AA83" s="18"/>
      <c r="AB83" s="18"/>
    </row>
    <row r="84" spans="2:28" ht="16" x14ac:dyDescent="0.2">
      <c r="B84" s="512"/>
      <c r="F84" s="462"/>
      <c r="G84" s="510" t="s">
        <v>75</v>
      </c>
      <c r="H84" s="462"/>
      <c r="I84" s="18"/>
      <c r="J84" s="18"/>
      <c r="K84" s="18"/>
      <c r="L84" s="18"/>
      <c r="M84" s="18"/>
      <c r="N84" s="18"/>
      <c r="O84" s="18"/>
      <c r="P84" s="18"/>
      <c r="Q84" s="18"/>
      <c r="R84" s="18"/>
      <c r="S84" s="18"/>
      <c r="T84" s="18"/>
      <c r="U84" s="18"/>
      <c r="V84" s="18"/>
      <c r="W84" s="18"/>
      <c r="X84" s="18"/>
      <c r="Y84" s="18"/>
      <c r="Z84" s="18"/>
      <c r="AA84" s="18"/>
      <c r="AB84" s="18"/>
    </row>
    <row r="85" spans="2:28" ht="16" x14ac:dyDescent="0.2">
      <c r="B85" s="513"/>
      <c r="F85" s="462"/>
      <c r="G85" s="510" t="s">
        <v>495</v>
      </c>
      <c r="H85" s="462"/>
      <c r="I85" s="18"/>
      <c r="J85" s="18"/>
      <c r="K85" s="18"/>
      <c r="L85" s="18"/>
      <c r="M85" s="18"/>
      <c r="N85" s="18"/>
      <c r="O85" s="18"/>
      <c r="P85" s="18"/>
      <c r="Q85" s="18"/>
      <c r="R85" s="18"/>
      <c r="S85" s="18"/>
      <c r="T85" s="18"/>
      <c r="U85" s="18"/>
      <c r="V85" s="18"/>
      <c r="W85" s="18"/>
      <c r="X85" s="18"/>
      <c r="Y85" s="18"/>
      <c r="Z85" s="18"/>
      <c r="AA85" s="18"/>
      <c r="AB85" s="18"/>
    </row>
    <row r="86" spans="2:28" ht="16" x14ac:dyDescent="0.2">
      <c r="B86" s="512"/>
      <c r="F86" s="462"/>
      <c r="G86" s="510">
        <v>1</v>
      </c>
      <c r="H86" s="462"/>
      <c r="I86" s="18"/>
      <c r="J86" s="18"/>
      <c r="K86" s="18"/>
      <c r="L86" s="18"/>
      <c r="M86" s="18"/>
      <c r="N86" s="18"/>
      <c r="O86" s="18"/>
      <c r="P86" s="18"/>
      <c r="Q86" s="18"/>
      <c r="R86" s="18"/>
      <c r="S86" s="18"/>
      <c r="T86" s="18"/>
      <c r="U86" s="18"/>
      <c r="V86" s="18"/>
      <c r="W86" s="18"/>
      <c r="X86" s="18"/>
      <c r="Y86" s="18"/>
      <c r="Z86" s="18"/>
      <c r="AA86" s="18"/>
      <c r="AB86" s="18"/>
    </row>
    <row r="87" spans="2:28" ht="16" x14ac:dyDescent="0.2">
      <c r="B87" s="513"/>
      <c r="F87" s="462"/>
      <c r="G87" s="510" t="s">
        <v>7</v>
      </c>
      <c r="H87" s="462"/>
      <c r="I87" s="18"/>
      <c r="J87" s="18"/>
      <c r="K87" s="18"/>
      <c r="L87" s="18"/>
      <c r="M87" s="18"/>
      <c r="N87" s="18"/>
      <c r="O87" s="18"/>
      <c r="P87" s="18"/>
      <c r="Q87" s="18"/>
      <c r="R87" s="18"/>
      <c r="S87" s="18"/>
      <c r="T87" s="18"/>
      <c r="U87" s="18"/>
      <c r="V87" s="18"/>
      <c r="W87" s="18"/>
      <c r="X87" s="18"/>
      <c r="Y87" s="18"/>
      <c r="Z87" s="18"/>
      <c r="AA87" s="18"/>
      <c r="AB87" s="18"/>
    </row>
    <row r="88" spans="2:28" ht="16" x14ac:dyDescent="0.2">
      <c r="B88" s="512"/>
      <c r="F88" s="462"/>
      <c r="G88" s="510" t="s">
        <v>75</v>
      </c>
      <c r="H88" s="462"/>
      <c r="I88" s="18"/>
      <c r="J88" s="18"/>
      <c r="K88" s="18"/>
      <c r="L88" s="18"/>
      <c r="M88" s="18"/>
      <c r="N88" s="18"/>
      <c r="O88" s="18"/>
      <c r="P88" s="18"/>
      <c r="Q88" s="18"/>
      <c r="R88" s="18"/>
      <c r="S88" s="18"/>
      <c r="T88" s="18"/>
      <c r="U88" s="18"/>
      <c r="V88" s="18"/>
      <c r="W88" s="18"/>
      <c r="X88" s="18"/>
      <c r="Y88" s="18"/>
      <c r="Z88" s="18"/>
      <c r="AA88" s="18"/>
      <c r="AB88" s="18"/>
    </row>
    <row r="89" spans="2:28" ht="16" x14ac:dyDescent="0.2">
      <c r="B89" s="513"/>
      <c r="F89" s="462"/>
      <c r="G89" s="510" t="s">
        <v>495</v>
      </c>
      <c r="H89" s="462"/>
      <c r="I89" s="18"/>
      <c r="J89" s="18"/>
      <c r="K89" s="18"/>
      <c r="L89" s="18"/>
      <c r="M89" s="18"/>
      <c r="N89" s="18"/>
      <c r="O89" s="18"/>
      <c r="P89" s="18"/>
      <c r="Q89" s="18"/>
      <c r="R89" s="18"/>
      <c r="S89" s="18"/>
      <c r="T89" s="18"/>
      <c r="U89" s="18"/>
      <c r="V89" s="18"/>
      <c r="W89" s="18"/>
      <c r="X89" s="18"/>
      <c r="Y89" s="18"/>
      <c r="Z89" s="18"/>
      <c r="AA89" s="18"/>
      <c r="AB89" s="18"/>
    </row>
    <row r="90" spans="2:28" ht="16" x14ac:dyDescent="0.2">
      <c r="B90" s="512"/>
      <c r="F90" s="462"/>
      <c r="G90" s="510">
        <v>2</v>
      </c>
      <c r="H90" s="462"/>
      <c r="I90" s="18"/>
      <c r="J90" s="18"/>
      <c r="K90" s="18"/>
      <c r="L90" s="18"/>
      <c r="M90" s="18"/>
      <c r="N90" s="18"/>
      <c r="O90" s="18"/>
      <c r="P90" s="18"/>
      <c r="Q90" s="18"/>
      <c r="R90" s="18"/>
      <c r="S90" s="18"/>
      <c r="T90" s="18"/>
      <c r="U90" s="18"/>
      <c r="V90" s="18"/>
      <c r="W90" s="18"/>
      <c r="X90" s="18"/>
      <c r="Y90" s="18"/>
      <c r="Z90" s="18"/>
      <c r="AA90" s="18"/>
      <c r="AB90" s="18"/>
    </row>
    <row r="91" spans="2:28" ht="16" x14ac:dyDescent="0.2">
      <c r="B91" s="513"/>
      <c r="F91" s="462"/>
      <c r="G91" s="510" t="s">
        <v>7</v>
      </c>
      <c r="H91" s="462"/>
      <c r="I91" s="18"/>
      <c r="J91" s="18"/>
      <c r="K91" s="18"/>
      <c r="L91" s="18"/>
      <c r="M91" s="18"/>
      <c r="N91" s="18"/>
      <c r="O91" s="18"/>
      <c r="P91" s="18"/>
      <c r="Q91" s="18"/>
      <c r="R91" s="18"/>
      <c r="S91" s="18"/>
      <c r="T91" s="18"/>
      <c r="U91" s="18"/>
      <c r="V91" s="18"/>
      <c r="W91" s="18"/>
      <c r="X91" s="18"/>
      <c r="Y91" s="18"/>
      <c r="Z91" s="18"/>
      <c r="AA91" s="18"/>
      <c r="AB91" s="18"/>
    </row>
    <row r="92" spans="2:28" ht="16" x14ac:dyDescent="0.2">
      <c r="B92" s="512"/>
      <c r="F92" s="462"/>
      <c r="G92" s="510" t="s">
        <v>75</v>
      </c>
      <c r="H92" s="462"/>
      <c r="I92" s="18"/>
      <c r="J92" s="18"/>
      <c r="K92" s="18"/>
      <c r="L92" s="18"/>
      <c r="M92" s="18"/>
      <c r="N92" s="18"/>
      <c r="O92" s="18"/>
      <c r="P92" s="18"/>
      <c r="Q92" s="18"/>
      <c r="R92" s="18"/>
      <c r="S92" s="18"/>
      <c r="T92" s="18"/>
      <c r="U92" s="18"/>
      <c r="V92" s="18"/>
      <c r="W92" s="18"/>
      <c r="X92" s="18"/>
      <c r="Y92" s="18"/>
      <c r="Z92" s="18"/>
      <c r="AA92" s="18"/>
      <c r="AB92" s="18"/>
    </row>
    <row r="93" spans="2:28" ht="16" x14ac:dyDescent="0.2">
      <c r="B93" s="513"/>
      <c r="F93" s="462"/>
      <c r="G93" s="510" t="s">
        <v>495</v>
      </c>
      <c r="H93" s="462"/>
      <c r="I93" s="18"/>
      <c r="J93" s="18"/>
      <c r="K93" s="18"/>
      <c r="L93" s="18"/>
      <c r="M93" s="18"/>
      <c r="N93" s="18"/>
      <c r="O93" s="18"/>
      <c r="P93" s="18"/>
      <c r="Q93" s="18"/>
      <c r="R93" s="18"/>
      <c r="S93" s="18"/>
      <c r="T93" s="18"/>
      <c r="U93" s="18"/>
      <c r="V93" s="18"/>
      <c r="W93" s="18"/>
      <c r="X93" s="18"/>
      <c r="Y93" s="18"/>
      <c r="Z93" s="18"/>
      <c r="AA93" s="18"/>
      <c r="AB93" s="18"/>
    </row>
    <row r="94" spans="2:28" ht="16" x14ac:dyDescent="0.2">
      <c r="B94" s="512"/>
      <c r="F94" s="462"/>
      <c r="G94" s="510">
        <v>3</v>
      </c>
      <c r="H94" s="462"/>
      <c r="I94" s="18"/>
      <c r="J94" s="18"/>
      <c r="K94" s="18"/>
      <c r="L94" s="18"/>
      <c r="M94" s="18"/>
      <c r="N94" s="18"/>
      <c r="O94" s="18"/>
      <c r="P94" s="18"/>
      <c r="Q94" s="18"/>
      <c r="R94" s="18"/>
      <c r="S94" s="18"/>
      <c r="T94" s="18"/>
      <c r="U94" s="18"/>
      <c r="V94" s="18"/>
      <c r="W94" s="18"/>
      <c r="X94" s="18"/>
      <c r="Y94" s="18"/>
      <c r="Z94" s="18"/>
      <c r="AA94" s="18"/>
      <c r="AB94" s="18"/>
    </row>
    <row r="95" spans="2:28" ht="16" x14ac:dyDescent="0.2">
      <c r="B95" s="513"/>
      <c r="F95" s="462"/>
      <c r="G95" s="514" t="s">
        <v>7</v>
      </c>
      <c r="H95" s="462"/>
      <c r="I95" s="18"/>
      <c r="J95" s="18"/>
      <c r="K95" s="18"/>
      <c r="L95" s="18"/>
      <c r="M95" s="18"/>
      <c r="N95" s="18"/>
      <c r="O95" s="18"/>
      <c r="P95" s="18"/>
      <c r="Q95" s="18"/>
      <c r="R95" s="18"/>
      <c r="S95" s="18"/>
      <c r="T95" s="18"/>
      <c r="U95" s="18"/>
      <c r="V95" s="18"/>
      <c r="W95" s="18"/>
      <c r="X95" s="18"/>
      <c r="Y95" s="18"/>
      <c r="Z95" s="18"/>
      <c r="AA95" s="18"/>
      <c r="AB95" s="18"/>
    </row>
    <row r="96" spans="2:28" ht="16" x14ac:dyDescent="0.2">
      <c r="B96" s="512"/>
      <c r="F96" s="462"/>
      <c r="G96" s="510" t="s">
        <v>75</v>
      </c>
      <c r="H96" s="462"/>
      <c r="I96" s="18"/>
      <c r="J96" s="18"/>
      <c r="K96" s="18"/>
      <c r="L96" s="18"/>
      <c r="M96" s="18"/>
      <c r="N96" s="18"/>
      <c r="O96" s="18"/>
      <c r="P96" s="18"/>
      <c r="Q96" s="18"/>
      <c r="R96" s="18"/>
      <c r="S96" s="18"/>
      <c r="T96" s="18"/>
      <c r="U96" s="18"/>
      <c r="V96" s="18"/>
      <c r="W96" s="18"/>
      <c r="X96" s="18"/>
      <c r="Y96" s="18"/>
      <c r="Z96" s="18"/>
      <c r="AA96" s="18"/>
      <c r="AB96" s="18"/>
    </row>
    <row r="97" spans="2:28" ht="16" x14ac:dyDescent="0.2">
      <c r="B97" s="513"/>
      <c r="F97" s="462"/>
      <c r="G97" s="510" t="s">
        <v>495</v>
      </c>
      <c r="H97" s="462"/>
      <c r="I97" s="18"/>
      <c r="J97" s="18"/>
      <c r="K97" s="18"/>
      <c r="L97" s="18"/>
      <c r="M97" s="18"/>
      <c r="N97" s="18"/>
      <c r="O97" s="18"/>
      <c r="P97" s="18"/>
      <c r="Q97" s="18"/>
      <c r="R97" s="18"/>
      <c r="S97" s="18"/>
      <c r="T97" s="18"/>
      <c r="U97" s="18"/>
      <c r="V97" s="18"/>
      <c r="W97" s="18"/>
      <c r="X97" s="18"/>
      <c r="Y97" s="18"/>
      <c r="Z97" s="18"/>
      <c r="AA97" s="18"/>
      <c r="AB97" s="18"/>
    </row>
    <row r="98" spans="2:28" ht="16" x14ac:dyDescent="0.2">
      <c r="B98" s="512"/>
      <c r="F98" s="462"/>
      <c r="G98" s="1174">
        <v>0.6</v>
      </c>
      <c r="H98" s="462"/>
      <c r="I98" s="18"/>
      <c r="J98" s="18"/>
      <c r="K98" s="18"/>
      <c r="L98" s="18"/>
      <c r="M98" s="18"/>
      <c r="N98" s="18"/>
      <c r="O98" s="18"/>
      <c r="P98" s="18"/>
      <c r="Q98" s="18"/>
      <c r="R98" s="18"/>
      <c r="S98" s="18"/>
      <c r="T98" s="18"/>
      <c r="U98" s="18"/>
      <c r="V98" s="18"/>
      <c r="W98" s="18"/>
      <c r="X98" s="18"/>
      <c r="Y98" s="18"/>
      <c r="Z98" s="18"/>
      <c r="AA98" s="18"/>
      <c r="AB98" s="18"/>
    </row>
    <row r="99" spans="2:28" ht="16" x14ac:dyDescent="0.2">
      <c r="B99" s="513"/>
      <c r="F99" s="462"/>
      <c r="G99" s="1174">
        <v>0.8</v>
      </c>
      <c r="H99" s="462"/>
    </row>
    <row r="100" spans="2:28" ht="16" x14ac:dyDescent="0.2">
      <c r="B100" s="512"/>
      <c r="F100" s="462"/>
      <c r="G100" s="1175">
        <v>1</v>
      </c>
      <c r="H100" s="462"/>
    </row>
    <row r="101" spans="2:28" ht="16" x14ac:dyDescent="0.2">
      <c r="B101" s="513"/>
      <c r="F101" s="462"/>
      <c r="G101" s="510" t="s">
        <v>7</v>
      </c>
      <c r="H101" s="462"/>
    </row>
    <row r="102" spans="2:28" ht="16" x14ac:dyDescent="0.2">
      <c r="B102" s="512"/>
      <c r="F102" s="462"/>
      <c r="G102" s="510" t="s">
        <v>75</v>
      </c>
      <c r="H102" s="462"/>
    </row>
    <row r="103" spans="2:28" ht="16" x14ac:dyDescent="0.2">
      <c r="B103" s="513"/>
      <c r="F103" s="462"/>
      <c r="G103" s="510" t="s">
        <v>495</v>
      </c>
      <c r="H103" s="462"/>
    </row>
    <row r="104" spans="2:28" x14ac:dyDescent="0.2">
      <c r="B104" s="273"/>
      <c r="F104" s="462"/>
      <c r="G104" s="510">
        <v>10</v>
      </c>
      <c r="H104" s="462"/>
    </row>
    <row r="105" spans="2:28" ht="16" x14ac:dyDescent="0.2">
      <c r="B105" s="512"/>
      <c r="F105" s="462"/>
      <c r="G105" s="510" t="s">
        <v>7</v>
      </c>
      <c r="H105" s="462"/>
    </row>
    <row r="106" spans="2:28" ht="16" x14ac:dyDescent="0.2">
      <c r="B106" s="513"/>
      <c r="F106" s="462"/>
      <c r="G106" s="510" t="s">
        <v>75</v>
      </c>
      <c r="H106" s="462"/>
    </row>
    <row r="107" spans="2:28" x14ac:dyDescent="0.2">
      <c r="F107" s="462"/>
      <c r="G107" s="510" t="s">
        <v>495</v>
      </c>
      <c r="H107" s="462"/>
    </row>
    <row r="108" spans="2:28" x14ac:dyDescent="0.2">
      <c r="F108" s="462"/>
      <c r="G108" s="514">
        <v>5</v>
      </c>
      <c r="H108" s="462"/>
    </row>
    <row r="109" spans="2:28" x14ac:dyDescent="0.2">
      <c r="F109" s="462"/>
      <c r="G109" s="510" t="s">
        <v>7</v>
      </c>
      <c r="H109" s="462"/>
    </row>
    <row r="110" spans="2:28" x14ac:dyDescent="0.2">
      <c r="F110" s="462"/>
      <c r="G110" s="510" t="s">
        <v>75</v>
      </c>
      <c r="H110" s="462"/>
    </row>
    <row r="111" spans="2:28" x14ac:dyDescent="0.2">
      <c r="F111" s="462"/>
      <c r="G111" s="510" t="s">
        <v>495</v>
      </c>
      <c r="H111" s="462"/>
    </row>
    <row r="112" spans="2:28" x14ac:dyDescent="0.2">
      <c r="F112" s="462"/>
      <c r="G112" s="510">
        <v>1</v>
      </c>
      <c r="H112" s="462"/>
    </row>
    <row r="113" spans="6:8" x14ac:dyDescent="0.2">
      <c r="F113" s="462"/>
      <c r="G113" s="510">
        <v>2</v>
      </c>
      <c r="H113" s="462"/>
    </row>
    <row r="114" spans="6:8" x14ac:dyDescent="0.2">
      <c r="F114" s="462"/>
      <c r="G114" s="510">
        <v>3</v>
      </c>
      <c r="H114" s="462"/>
    </row>
    <row r="115" spans="6:8" x14ac:dyDescent="0.2">
      <c r="F115" s="462"/>
      <c r="G115" s="510">
        <v>4</v>
      </c>
      <c r="H115" s="462"/>
    </row>
    <row r="116" spans="6:8" x14ac:dyDescent="0.2">
      <c r="F116" s="462"/>
      <c r="G116" s="510">
        <v>5</v>
      </c>
      <c r="H116" s="462"/>
    </row>
    <row r="117" spans="6:8" x14ac:dyDescent="0.2">
      <c r="F117" s="462"/>
      <c r="G117" s="510"/>
      <c r="H117" s="462"/>
    </row>
    <row r="118" spans="6:8" x14ac:dyDescent="0.2">
      <c r="F118" s="462"/>
      <c r="G118" s="510"/>
      <c r="H118" s="462"/>
    </row>
    <row r="119" spans="6:8" x14ac:dyDescent="0.2">
      <c r="F119" s="462"/>
      <c r="G119" s="510" t="s">
        <v>75</v>
      </c>
      <c r="H119" s="462"/>
    </row>
    <row r="120" spans="6:8" x14ac:dyDescent="0.2">
      <c r="F120" s="462"/>
      <c r="G120" s="510" t="s">
        <v>495</v>
      </c>
      <c r="H120" s="462"/>
    </row>
    <row r="121" spans="6:8" x14ac:dyDescent="0.2">
      <c r="F121" s="462"/>
      <c r="G121" s="510" t="s">
        <v>18</v>
      </c>
      <c r="H121" s="462"/>
    </row>
    <row r="122" spans="6:8" x14ac:dyDescent="0.2">
      <c r="F122" s="462"/>
      <c r="G122" s="510" t="s">
        <v>19</v>
      </c>
      <c r="H122" s="462"/>
    </row>
    <row r="123" spans="6:8" x14ac:dyDescent="0.2">
      <c r="F123" s="462"/>
      <c r="G123" s="514"/>
      <c r="H123" s="462"/>
    </row>
    <row r="124" spans="6:8" x14ac:dyDescent="0.2">
      <c r="F124" s="462"/>
      <c r="G124" s="779"/>
      <c r="H124" s="462"/>
    </row>
    <row r="125" spans="6:8" x14ac:dyDescent="0.2">
      <c r="F125" s="462"/>
      <c r="G125" s="510"/>
      <c r="H125" s="462"/>
    </row>
    <row r="126" spans="6:8" x14ac:dyDescent="0.2">
      <c r="F126" s="462"/>
      <c r="G126" s="510"/>
      <c r="H126" s="462"/>
    </row>
    <row r="127" spans="6:8" x14ac:dyDescent="0.2">
      <c r="F127" s="462"/>
      <c r="G127" s="510"/>
      <c r="H127" s="462"/>
    </row>
    <row r="128" spans="6:8" x14ac:dyDescent="0.2">
      <c r="F128" s="462"/>
      <c r="G128" s="1176">
        <f>IF(AND(D43=G121,D44=G121,D45=G121,D46=G121,D47=G121),3,0)</f>
        <v>0</v>
      </c>
      <c r="H128" s="462"/>
    </row>
    <row r="129" spans="6:8" x14ac:dyDescent="0.2">
      <c r="F129" s="462"/>
      <c r="G129" s="1176">
        <f>IF(AND(D50=G121,D51=G121,D52=G121),5,0)</f>
        <v>0</v>
      </c>
      <c r="H129" s="462"/>
    </row>
    <row r="130" spans="6:8" x14ac:dyDescent="0.2">
      <c r="F130" s="462"/>
      <c r="G130" s="1176"/>
      <c r="H130" s="462"/>
    </row>
    <row r="131" spans="6:8" x14ac:dyDescent="0.2">
      <c r="F131" s="462"/>
      <c r="G131" s="1176"/>
      <c r="H131" s="462"/>
    </row>
    <row r="132" spans="6:8" x14ac:dyDescent="0.2">
      <c r="F132" s="462"/>
      <c r="G132" s="1176" t="e">
        <f>IF(OR(#REF!=G121,#REF!=G121),C54,0)</f>
        <v>#REF!</v>
      </c>
      <c r="H132" s="462"/>
    </row>
    <row r="133" spans="6:8" x14ac:dyDescent="0.2">
      <c r="F133" s="462"/>
      <c r="G133" s="1176"/>
      <c r="H133" s="462"/>
    </row>
    <row r="134" spans="6:8" x14ac:dyDescent="0.2">
      <c r="F134" s="462"/>
      <c r="G134" s="510"/>
      <c r="H134" s="462"/>
    </row>
    <row r="135" spans="6:8" x14ac:dyDescent="0.2">
      <c r="F135" s="462"/>
      <c r="G135" s="510"/>
      <c r="H135" s="462"/>
    </row>
    <row r="136" spans="6:8" x14ac:dyDescent="0.2">
      <c r="F136" s="462"/>
      <c r="G136" s="510" t="s">
        <v>7</v>
      </c>
      <c r="H136" s="462"/>
    </row>
    <row r="137" spans="6:8" x14ac:dyDescent="0.2">
      <c r="F137" s="462"/>
      <c r="G137" s="510" t="s">
        <v>75</v>
      </c>
      <c r="H137" s="462"/>
    </row>
    <row r="138" spans="6:8" x14ac:dyDescent="0.2">
      <c r="F138" s="462"/>
      <c r="G138" s="510" t="s">
        <v>495</v>
      </c>
      <c r="H138" s="462"/>
    </row>
    <row r="139" spans="6:8" x14ac:dyDescent="0.2">
      <c r="F139" s="462"/>
      <c r="G139" s="510">
        <v>2</v>
      </c>
      <c r="H139" s="462"/>
    </row>
    <row r="140" spans="6:8" x14ac:dyDescent="0.2">
      <c r="F140" s="462"/>
      <c r="G140" s="510">
        <v>3</v>
      </c>
      <c r="H140" s="462"/>
    </row>
    <row r="141" spans="6:8" x14ac:dyDescent="0.2">
      <c r="F141" s="462"/>
      <c r="H141" s="462"/>
    </row>
    <row r="142" spans="6:8" x14ac:dyDescent="0.2">
      <c r="F142" s="462"/>
      <c r="H142" s="462"/>
    </row>
    <row r="143" spans="6:8" x14ac:dyDescent="0.2">
      <c r="F143" s="462"/>
      <c r="H143" s="462"/>
    </row>
    <row r="144" spans="6:8" x14ac:dyDescent="0.2">
      <c r="F144" s="462"/>
      <c r="H144" s="462"/>
    </row>
    <row r="145" spans="7:7" x14ac:dyDescent="0.2">
      <c r="G145" s="510" t="s">
        <v>1296</v>
      </c>
    </row>
    <row r="146" spans="7:7" x14ac:dyDescent="0.2">
      <c r="G146" s="510" t="s">
        <v>495</v>
      </c>
    </row>
    <row r="147" spans="7:7" x14ac:dyDescent="0.2">
      <c r="G147" s="737">
        <v>1</v>
      </c>
    </row>
    <row r="148" spans="7:7" x14ac:dyDescent="0.2">
      <c r="G148" s="737">
        <v>2</v>
      </c>
    </row>
    <row r="149" spans="7:7" x14ac:dyDescent="0.2">
      <c r="G149" s="737">
        <v>3</v>
      </c>
    </row>
    <row r="150" spans="7:7" x14ac:dyDescent="0.2">
      <c r="G150" s="737">
        <v>5</v>
      </c>
    </row>
  </sheetData>
  <sheetProtection algorithmName="SHA-512" hashValue="+tQFW3ggx0vQmFLh1E4hvB3gj05ekRH6nZHcshSbAEb6hShyGPGL7dumGNkHdIvLEFgMvzCRd+rnAIm4v3UAgw==" saltValue="tNAXb7RpD3a18y0X1q/0gQ==" spinCount="100000" sheet="1" insertHyperlinks="0" selectLockedCells="1"/>
  <mergeCells count="65">
    <mergeCell ref="D15:E15"/>
    <mergeCell ref="A41:E41"/>
    <mergeCell ref="A37:F37"/>
    <mergeCell ref="A38:E38"/>
    <mergeCell ref="D18:E18"/>
    <mergeCell ref="A20:E20"/>
    <mergeCell ref="A29:C29"/>
    <mergeCell ref="A25:F25"/>
    <mergeCell ref="D31:E31"/>
    <mergeCell ref="A68:D68"/>
    <mergeCell ref="B65:E65"/>
    <mergeCell ref="A66:D66"/>
    <mergeCell ref="A67:D67"/>
    <mergeCell ref="A58:F58"/>
    <mergeCell ref="D61:E61"/>
    <mergeCell ref="D62:E62"/>
    <mergeCell ref="F62:F68"/>
    <mergeCell ref="A62:A64"/>
    <mergeCell ref="B63:E63"/>
    <mergeCell ref="D60:E60"/>
    <mergeCell ref="A59:E59"/>
    <mergeCell ref="A1:F1"/>
    <mergeCell ref="D28:E28"/>
    <mergeCell ref="D23:E23"/>
    <mergeCell ref="D24:E24"/>
    <mergeCell ref="D27:E27"/>
    <mergeCell ref="A5:E5"/>
    <mergeCell ref="A14:E14"/>
    <mergeCell ref="A17:E17"/>
    <mergeCell ref="D21:E21"/>
    <mergeCell ref="D22:E22"/>
    <mergeCell ref="A19:F19"/>
    <mergeCell ref="C3:F3"/>
    <mergeCell ref="D9:E9"/>
    <mergeCell ref="D10:E10"/>
    <mergeCell ref="A26:E26"/>
    <mergeCell ref="E4:F4"/>
    <mergeCell ref="A3:B3"/>
    <mergeCell ref="H28:H29"/>
    <mergeCell ref="H42:H47"/>
    <mergeCell ref="D55:E55"/>
    <mergeCell ref="D56:E56"/>
    <mergeCell ref="D7:E7"/>
    <mergeCell ref="A43:C47"/>
    <mergeCell ref="D8:E8"/>
    <mergeCell ref="D6:E6"/>
    <mergeCell ref="D30:E30"/>
    <mergeCell ref="D12:E12"/>
    <mergeCell ref="D11:E11"/>
    <mergeCell ref="A48:C48"/>
    <mergeCell ref="A50:C52"/>
    <mergeCell ref="A13:F13"/>
    <mergeCell ref="A16:F16"/>
    <mergeCell ref="D57:E57"/>
    <mergeCell ref="D32:E32"/>
    <mergeCell ref="D33:E33"/>
    <mergeCell ref="D34:E34"/>
    <mergeCell ref="D35:E35"/>
    <mergeCell ref="D36:E36"/>
    <mergeCell ref="D54:E54"/>
    <mergeCell ref="A53:E53"/>
    <mergeCell ref="D39:E39"/>
    <mergeCell ref="D40:E40"/>
    <mergeCell ref="D42:E42"/>
    <mergeCell ref="D49:E49"/>
  </mergeCells>
  <phoneticPr fontId="13" type="noConversion"/>
  <conditionalFormatting sqref="I6">
    <cfRule type="cellIs" dxfId="134" priority="1" stopIfTrue="1" operator="equal">
      <formula>$Z$6</formula>
    </cfRule>
  </conditionalFormatting>
  <conditionalFormatting sqref="I8">
    <cfRule type="cellIs" dxfId="133" priority="2" stopIfTrue="1" operator="equal">
      <formula>$Z$8</formula>
    </cfRule>
  </conditionalFormatting>
  <conditionalFormatting sqref="I10:I11">
    <cfRule type="cellIs" dxfId="132" priority="3" stopIfTrue="1" operator="equal">
      <formula>$Z$10</formula>
    </cfRule>
  </conditionalFormatting>
  <conditionalFormatting sqref="I12">
    <cfRule type="cellIs" dxfId="131" priority="4" stopIfTrue="1" operator="equal">
      <formula>$Z$12</formula>
    </cfRule>
  </conditionalFormatting>
  <conditionalFormatting sqref="I15">
    <cfRule type="cellIs" dxfId="130" priority="5" stopIfTrue="1" operator="equal">
      <formula>$Z$15</formula>
    </cfRule>
  </conditionalFormatting>
  <conditionalFormatting sqref="I18">
    <cfRule type="cellIs" dxfId="129" priority="8" stopIfTrue="1" operator="equal">
      <formula>$Z$18</formula>
    </cfRule>
  </conditionalFormatting>
  <conditionalFormatting sqref="I21">
    <cfRule type="cellIs" dxfId="128" priority="10" stopIfTrue="1" operator="equal">
      <formula>$Z$21</formula>
    </cfRule>
  </conditionalFormatting>
  <conditionalFormatting sqref="I22">
    <cfRule type="cellIs" dxfId="127" priority="11" stopIfTrue="1" operator="equal">
      <formula>$Z$22</formula>
    </cfRule>
  </conditionalFormatting>
  <conditionalFormatting sqref="I23">
    <cfRule type="cellIs" dxfId="126" priority="12" stopIfTrue="1" operator="equal">
      <formula>$Z$23</formula>
    </cfRule>
  </conditionalFormatting>
  <conditionalFormatting sqref="I24">
    <cfRule type="cellIs" dxfId="125" priority="13" stopIfTrue="1" operator="equal">
      <formula>$Z$24</formula>
    </cfRule>
  </conditionalFormatting>
  <conditionalFormatting sqref="I27">
    <cfRule type="cellIs" dxfId="124" priority="14" stopIfTrue="1" operator="equal">
      <formula>$Z$27</formula>
    </cfRule>
  </conditionalFormatting>
  <conditionalFormatting sqref="I28">
    <cfRule type="cellIs" dxfId="123" priority="15" stopIfTrue="1" operator="equal">
      <formula>$Z$28</formula>
    </cfRule>
  </conditionalFormatting>
  <conditionalFormatting sqref="I30">
    <cfRule type="cellIs" dxfId="122" priority="16" stopIfTrue="1" operator="equal">
      <formula>$Z$30</formula>
    </cfRule>
  </conditionalFormatting>
  <conditionalFormatting sqref="I31">
    <cfRule type="cellIs" dxfId="121" priority="17" stopIfTrue="1" operator="equal">
      <formula>$Z$31</formula>
    </cfRule>
  </conditionalFormatting>
  <conditionalFormatting sqref="I32">
    <cfRule type="cellIs" dxfId="120" priority="18" stopIfTrue="1" operator="equal">
      <formula>$Z$32</formula>
    </cfRule>
  </conditionalFormatting>
  <conditionalFormatting sqref="I33">
    <cfRule type="cellIs" dxfId="119" priority="19" stopIfTrue="1" operator="equal">
      <formula>$Z$33</formula>
    </cfRule>
  </conditionalFormatting>
  <conditionalFormatting sqref="I34">
    <cfRule type="cellIs" dxfId="118" priority="20" stopIfTrue="1" operator="equal">
      <formula>$Z$34</formula>
    </cfRule>
  </conditionalFormatting>
  <conditionalFormatting sqref="I35">
    <cfRule type="cellIs" dxfId="117" priority="21" stopIfTrue="1" operator="equal">
      <formula>$Z$35</formula>
    </cfRule>
  </conditionalFormatting>
  <conditionalFormatting sqref="I36">
    <cfRule type="cellIs" dxfId="116" priority="22" stopIfTrue="1" operator="equal">
      <formula>$Z$36</formula>
    </cfRule>
  </conditionalFormatting>
  <conditionalFormatting sqref="I37:I39">
    <cfRule type="cellIs" dxfId="115" priority="23" stopIfTrue="1" operator="equal">
      <formula>#REF!</formula>
    </cfRule>
  </conditionalFormatting>
  <conditionalFormatting sqref="I60:I61">
    <cfRule type="cellIs" dxfId="114" priority="24" stopIfTrue="1" operator="equal">
      <formula>$Z$60</formula>
    </cfRule>
  </conditionalFormatting>
  <conditionalFormatting sqref="I42">
    <cfRule type="cellIs" dxfId="113" priority="25" stopIfTrue="1" operator="equal">
      <formula>$Z$42</formula>
    </cfRule>
  </conditionalFormatting>
  <dataValidations count="12">
    <dataValidation type="list" allowBlank="1" showInputMessage="1" showErrorMessage="1" sqref="D43:D48 D50:D52" xr:uid="{00000000-0002-0000-0900-000000000000}">
      <formula1>$G$119:$G$122</formula1>
    </dataValidation>
    <dataValidation type="list" allowBlank="1" showInputMessage="1" showErrorMessage="1" sqref="B60" xr:uid="{00000000-0002-0000-0900-000001000000}">
      <formula1>$G$105:$G$108</formula1>
    </dataValidation>
    <dataValidation type="list" allowBlank="1" showInputMessage="1" showErrorMessage="1" sqref="D29" xr:uid="{00000000-0002-0000-0900-000002000000}">
      <formula1>$G$96:$G$100</formula1>
    </dataValidation>
    <dataValidation type="list" allowBlank="1" showInputMessage="1" showErrorMessage="1" sqref="B39" xr:uid="{00000000-0002-0000-0900-000003000000}">
      <formula1>$G$101:$G$104</formula1>
    </dataValidation>
    <dataValidation type="list" allowBlank="1" showInputMessage="1" showErrorMessage="1" sqref="B9 B21" xr:uid="{00000000-0002-0000-0900-000004000000}">
      <formula1>$G$109:$G$113</formula1>
    </dataValidation>
    <dataValidation type="list" allowBlank="1" showInputMessage="1" showErrorMessage="1" sqref="A3" xr:uid="{00000000-0002-0000-0900-000005000000}">
      <formula1>$G$70:$G$72</formula1>
    </dataValidation>
    <dataValidation type="list" allowBlank="1" showInputMessage="1" showErrorMessage="1" sqref="B7:B8 B11:B12 B54:B57 B34:B35 B22:B23" xr:uid="{00000000-0002-0000-0900-000006000000}">
      <formula1>$G$83:$G$86</formula1>
    </dataValidation>
    <dataValidation type="list" allowBlank="1" showInputMessage="1" showErrorMessage="1" sqref="B24 B61 B32:B33 B36 B30 B40" xr:uid="{00000000-0002-0000-0900-000007000000}">
      <formula1>$G$87:$G$90</formula1>
    </dataValidation>
    <dataValidation type="list" allowBlank="1" showInputMessage="1" showErrorMessage="1" sqref="B31 B6" xr:uid="{00000000-0002-0000-0900-000008000000}">
      <formula1>$G$91:$G$94</formula1>
    </dataValidation>
    <dataValidation type="list" allowBlank="1" showInputMessage="1" showErrorMessage="1" sqref="B15" xr:uid="{00000000-0002-0000-0900-000009000000}">
      <formula1>$G$109:$G$114</formula1>
    </dataValidation>
    <dataValidation type="list" allowBlank="1" showInputMessage="1" showErrorMessage="1" sqref="B10 B27" xr:uid="{00000000-0002-0000-0900-00000A000000}">
      <formula1>$G$136:$G$140</formula1>
    </dataValidation>
    <dataValidation type="list" allowBlank="1" showInputMessage="1" showErrorMessage="1" sqref="B18" xr:uid="{9AF73527-3D45-1949-8002-4FDFCC0834A3}">
      <formula1>$G$144:$G$150</formula1>
    </dataValidation>
  </dataValidations>
  <pageMargins left="0.45" right="0.45" top="0.25" bottom="1" header="0.3" footer="0.3"/>
  <pageSetup scale="68" fitToHeight="0" orientation="portrait" cellComments="asDisplayed" r:id="rId1"/>
  <headerFooter>
    <oddFooter>&amp;C&amp;G&amp;R&amp;P of &amp;N</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B84"/>
  <sheetViews>
    <sheetView zoomScale="130" zoomScaleNormal="130" zoomScalePageLayoutView="70" workbookViewId="0">
      <selection activeCell="G6" sqref="G6"/>
    </sheetView>
  </sheetViews>
  <sheetFormatPr baseColWidth="10" defaultColWidth="8.6640625" defaultRowHeight="15" x14ac:dyDescent="0.2"/>
  <cols>
    <col min="1" max="3" width="7.6640625" style="94" customWidth="1"/>
    <col min="4" max="4" width="7.6640625" style="314" customWidth="1"/>
    <col min="5" max="5" width="42.5" style="94" customWidth="1"/>
    <col min="6" max="6" width="27" style="94" customWidth="1"/>
    <col min="7" max="7" width="38.6640625" style="94" customWidth="1"/>
    <col min="8" max="9" width="6.5" style="18" hidden="1" customWidth="1"/>
    <col min="10" max="10" width="7.33203125" style="94" hidden="1" customWidth="1"/>
    <col min="11" max="11" width="14.5" style="94" hidden="1" customWidth="1"/>
    <col min="12" max="18" width="8.6640625" style="94"/>
    <col min="19" max="19" width="2.6640625" style="94" customWidth="1"/>
    <col min="20" max="27" width="8.6640625" style="94"/>
    <col min="28" max="28" width="8.6640625" style="323"/>
    <col min="29" max="16384" width="8.6640625" style="94"/>
  </cols>
  <sheetData>
    <row r="1" spans="1:28" ht="19" x14ac:dyDescent="0.25">
      <c r="A1" s="1535" t="s">
        <v>786</v>
      </c>
      <c r="B1" s="1536"/>
      <c r="C1" s="1536"/>
      <c r="D1" s="1536"/>
      <c r="E1" s="1536"/>
      <c r="F1" s="1536"/>
      <c r="G1" s="1537"/>
      <c r="H1" s="93"/>
      <c r="I1" s="93"/>
      <c r="J1" s="93"/>
    </row>
    <row r="2" spans="1:28" ht="16" x14ac:dyDescent="0.2">
      <c r="A2" s="656" t="s">
        <v>162</v>
      </c>
      <c r="B2" s="657"/>
      <c r="C2" s="657"/>
      <c r="D2" s="657"/>
      <c r="E2" s="657"/>
      <c r="F2" s="657"/>
      <c r="G2" s="689" t="str">
        <f>'1. Instructions'!B5</f>
        <v>Revised 4-5-2022</v>
      </c>
    </row>
    <row r="3" spans="1:28" ht="27" x14ac:dyDescent="0.2">
      <c r="A3" s="324"/>
      <c r="B3" s="325" t="s">
        <v>765</v>
      </c>
      <c r="C3" s="325" t="s">
        <v>766</v>
      </c>
      <c r="D3" s="1590" t="s">
        <v>31</v>
      </c>
      <c r="E3" s="1676"/>
      <c r="F3" s="1676"/>
      <c r="G3" s="1677"/>
      <c r="J3" s="599" t="s">
        <v>69</v>
      </c>
      <c r="K3" s="129"/>
      <c r="L3" s="129"/>
      <c r="M3" s="129"/>
      <c r="N3" s="129"/>
      <c r="O3" s="129"/>
      <c r="P3" s="129"/>
      <c r="Q3" s="129"/>
      <c r="R3" s="129"/>
    </row>
    <row r="4" spans="1:28" ht="16" x14ac:dyDescent="0.2">
      <c r="A4" s="1678" t="s">
        <v>1241</v>
      </c>
      <c r="B4" s="1679"/>
      <c r="C4" s="1679"/>
      <c r="D4" s="1679"/>
      <c r="E4" s="1679"/>
      <c r="F4" s="1680"/>
      <c r="G4" s="326" t="s">
        <v>762</v>
      </c>
      <c r="H4" s="1077"/>
      <c r="I4" s="1078"/>
      <c r="J4" s="765"/>
      <c r="K4" s="765"/>
      <c r="L4" s="765"/>
      <c r="M4" s="765"/>
      <c r="N4" s="765"/>
      <c r="O4" s="765"/>
      <c r="P4" s="765"/>
      <c r="Q4" s="199"/>
      <c r="Z4" s="323"/>
      <c r="AB4" s="94"/>
    </row>
    <row r="5" spans="1:28" x14ac:dyDescent="0.2">
      <c r="A5" s="489" t="s">
        <v>1077</v>
      </c>
      <c r="B5" s="288"/>
      <c r="C5" s="1050" t="s">
        <v>921</v>
      </c>
      <c r="D5" s="1681" t="s">
        <v>151</v>
      </c>
      <c r="E5" s="1682"/>
      <c r="F5" s="1683"/>
      <c r="G5" s="326"/>
      <c r="J5" s="1021" t="str">
        <f>IF(B5&gt;0,"Name of Development","none")</f>
        <v>none</v>
      </c>
      <c r="K5" s="491">
        <f>IF(B5&gt;0,"[  ]",0)</f>
        <v>0</v>
      </c>
      <c r="L5" s="765"/>
      <c r="M5" s="765"/>
      <c r="N5" s="765"/>
      <c r="O5" s="765"/>
      <c r="P5" s="765"/>
      <c r="Q5" s="765"/>
      <c r="R5" s="765"/>
      <c r="S5" s="199"/>
      <c r="AB5" s="336">
        <f>IF(K5="[  ]","[  ]",1)</f>
        <v>1</v>
      </c>
    </row>
    <row r="6" spans="1:28" x14ac:dyDescent="0.2">
      <c r="A6" s="1518"/>
      <c r="B6" s="1519"/>
      <c r="C6" s="1519"/>
      <c r="D6" s="1225"/>
      <c r="E6" s="1226"/>
      <c r="F6" s="1051" t="s">
        <v>785</v>
      </c>
      <c r="G6" s="578" t="s">
        <v>1430</v>
      </c>
      <c r="J6" s="306"/>
      <c r="K6" s="421"/>
      <c r="Q6" s="306"/>
      <c r="R6" s="306"/>
      <c r="S6" s="199"/>
    </row>
    <row r="7" spans="1:28" x14ac:dyDescent="0.2">
      <c r="A7" s="516" t="s">
        <v>1078</v>
      </c>
      <c r="B7" s="288"/>
      <c r="C7" s="1052">
        <v>2</v>
      </c>
      <c r="D7" s="1681" t="s">
        <v>153</v>
      </c>
      <c r="E7" s="1682"/>
      <c r="F7" s="1683"/>
      <c r="G7" s="578"/>
      <c r="J7" s="345" t="str">
        <f>IF(B7=2,"Name of local government","none")</f>
        <v>none</v>
      </c>
      <c r="K7" s="491">
        <f>IF(B7=4,"[  ]",0)</f>
        <v>0</v>
      </c>
      <c r="Q7" s="306"/>
      <c r="R7" s="306"/>
      <c r="S7" s="199"/>
      <c r="AB7" s="336">
        <f>IF(K7="[  ]","[  ]",1)</f>
        <v>1</v>
      </c>
    </row>
    <row r="8" spans="1:28" x14ac:dyDescent="0.2">
      <c r="A8" s="516" t="s">
        <v>1079</v>
      </c>
      <c r="B8" s="288"/>
      <c r="C8" s="1038">
        <v>2</v>
      </c>
      <c r="D8" s="1684" t="s">
        <v>575</v>
      </c>
      <c r="E8" s="1684"/>
      <c r="F8" s="1684"/>
      <c r="G8" s="578"/>
      <c r="J8" s="588" t="s">
        <v>68</v>
      </c>
      <c r="K8" s="354" t="s">
        <v>7</v>
      </c>
      <c r="Q8" s="306"/>
      <c r="R8" s="306"/>
      <c r="S8" s="199"/>
    </row>
    <row r="9" spans="1:28" x14ac:dyDescent="0.2">
      <c r="A9" s="516" t="s">
        <v>1080</v>
      </c>
      <c r="B9" s="288"/>
      <c r="C9" s="1052">
        <v>1</v>
      </c>
      <c r="D9" s="1684" t="s">
        <v>574</v>
      </c>
      <c r="E9" s="1684"/>
      <c r="F9" s="1684"/>
      <c r="G9" s="578"/>
      <c r="J9" s="345" t="s">
        <v>68</v>
      </c>
      <c r="K9" s="333" t="s">
        <v>7</v>
      </c>
      <c r="Q9" s="306"/>
      <c r="R9" s="306"/>
      <c r="S9" s="199"/>
    </row>
    <row r="10" spans="1:28" x14ac:dyDescent="0.2">
      <c r="A10" s="516" t="s">
        <v>1081</v>
      </c>
      <c r="B10" s="288"/>
      <c r="C10" s="1076" t="s">
        <v>317</v>
      </c>
      <c r="D10" s="1684" t="s">
        <v>468</v>
      </c>
      <c r="E10" s="1684"/>
      <c r="F10" s="1684"/>
      <c r="G10" s="578"/>
      <c r="J10" s="345" t="s">
        <v>68</v>
      </c>
      <c r="K10" s="333" t="s">
        <v>7</v>
      </c>
      <c r="Q10" s="306"/>
      <c r="R10" s="306"/>
      <c r="S10" s="199"/>
    </row>
    <row r="11" spans="1:28" x14ac:dyDescent="0.2">
      <c r="A11" s="516" t="s">
        <v>1082</v>
      </c>
      <c r="B11" s="288"/>
      <c r="C11" s="1038">
        <v>2</v>
      </c>
      <c r="D11" s="1684" t="s">
        <v>156</v>
      </c>
      <c r="E11" s="1685"/>
      <c r="F11" s="1685"/>
      <c r="G11" s="578"/>
      <c r="J11" s="345" t="s">
        <v>68</v>
      </c>
      <c r="K11" s="333" t="s">
        <v>7</v>
      </c>
      <c r="Q11" s="306"/>
      <c r="R11" s="306"/>
      <c r="S11" s="199"/>
    </row>
    <row r="12" spans="1:28" ht="16" thickBot="1" x14ac:dyDescent="0.25">
      <c r="A12" s="516" t="s">
        <v>1083</v>
      </c>
      <c r="B12" s="275" t="str">
        <f>IF(I82=0," ",IF(I82=3,"1",(IF(I82=4,"1",(IF(I82=5,"1",(IF(I82=6,"2",(IF(I82=7,"2",(IF(I82=8,"2",(IF(I82=9,"3",IF(I82=10,"3",IF(I82=11,"3",IF(I82=12,"4",IF(I82=13,"4",IF(I82=14,"4",IF(I82&gt;=15,"5",("0")))))))))))))))))))))</f>
        <v xml:space="preserve"> </v>
      </c>
      <c r="C12" s="1076" t="s">
        <v>104</v>
      </c>
      <c r="D12" s="1670" t="s">
        <v>1397</v>
      </c>
      <c r="E12" s="1670"/>
      <c r="F12" s="1670"/>
      <c r="G12" s="578"/>
      <c r="J12" s="1084" t="s">
        <v>68</v>
      </c>
      <c r="K12" s="333" t="s">
        <v>7</v>
      </c>
      <c r="Q12" s="306"/>
      <c r="R12" s="306"/>
      <c r="S12" s="199"/>
    </row>
    <row r="13" spans="1:28" ht="17" thickTop="1" thickBot="1" x14ac:dyDescent="0.25">
      <c r="A13" s="1518"/>
      <c r="B13" s="1519"/>
      <c r="C13" s="1519"/>
      <c r="D13" s="288"/>
      <c r="E13" s="1660" t="s">
        <v>163</v>
      </c>
      <c r="F13" s="1664"/>
      <c r="G13" s="578"/>
      <c r="I13" s="1083">
        <f>IF(D13=H64,1,0)</f>
        <v>0</v>
      </c>
      <c r="J13" s="1085" t="s">
        <v>182</v>
      </c>
      <c r="K13"/>
      <c r="Q13" s="306"/>
      <c r="R13" s="306"/>
      <c r="S13" s="199"/>
    </row>
    <row r="14" spans="1:28" ht="16" thickTop="1" x14ac:dyDescent="0.2">
      <c r="A14" s="1518"/>
      <c r="B14" s="1519"/>
      <c r="C14" s="1519"/>
      <c r="D14" s="288"/>
      <c r="E14" s="1660" t="s">
        <v>164</v>
      </c>
      <c r="F14" s="1664"/>
      <c r="G14" s="578"/>
      <c r="I14" s="1081">
        <f>IF(D14="Yes",1,0)</f>
        <v>0</v>
      </c>
      <c r="J14"/>
      <c r="K14"/>
      <c r="Q14" s="306"/>
      <c r="R14" s="306"/>
      <c r="S14" s="199"/>
    </row>
    <row r="15" spans="1:28" x14ac:dyDescent="0.2">
      <c r="A15" s="1518"/>
      <c r="B15" s="1519"/>
      <c r="C15" s="1519"/>
      <c r="D15" s="288"/>
      <c r="E15" s="1660" t="s">
        <v>1251</v>
      </c>
      <c r="F15" s="1664"/>
      <c r="G15" s="578"/>
      <c r="I15" s="1081">
        <f t="shared" ref="I15:I38" si="0">IF(D15="Yes",1,0)</f>
        <v>0</v>
      </c>
      <c r="J15"/>
      <c r="K15"/>
      <c r="Q15" s="306"/>
      <c r="R15" s="306"/>
      <c r="S15" s="199"/>
    </row>
    <row r="16" spans="1:28" x14ac:dyDescent="0.2">
      <c r="A16" s="1518"/>
      <c r="B16" s="1519"/>
      <c r="C16" s="1519"/>
      <c r="D16" s="288"/>
      <c r="E16" s="1660" t="s">
        <v>1252</v>
      </c>
      <c r="F16" s="1664"/>
      <c r="G16" s="578"/>
      <c r="I16" s="1081">
        <f t="shared" si="0"/>
        <v>0</v>
      </c>
      <c r="J16"/>
      <c r="K16"/>
      <c r="Q16" s="306"/>
      <c r="R16" s="306"/>
      <c r="S16" s="199"/>
    </row>
    <row r="17" spans="1:19" x14ac:dyDescent="0.2">
      <c r="A17" s="1518"/>
      <c r="B17" s="1519"/>
      <c r="C17" s="1519"/>
      <c r="D17" s="288"/>
      <c r="E17" s="1660" t="s">
        <v>1253</v>
      </c>
      <c r="F17" s="1664"/>
      <c r="G17" s="578"/>
      <c r="I17" s="1081">
        <f t="shared" si="0"/>
        <v>0</v>
      </c>
      <c r="J17"/>
      <c r="K17"/>
      <c r="Q17" s="306"/>
      <c r="R17" s="306"/>
      <c r="S17" s="199"/>
    </row>
    <row r="18" spans="1:19" x14ac:dyDescent="0.2">
      <c r="A18" s="1518"/>
      <c r="B18" s="1519"/>
      <c r="C18" s="1519"/>
      <c r="D18" s="288"/>
      <c r="E18" s="1660" t="s">
        <v>1254</v>
      </c>
      <c r="F18" s="1664"/>
      <c r="G18" s="578"/>
      <c r="I18" s="1081">
        <f t="shared" si="0"/>
        <v>0</v>
      </c>
      <c r="J18"/>
      <c r="K18"/>
      <c r="Q18" s="306"/>
      <c r="R18" s="306"/>
      <c r="S18" s="199"/>
    </row>
    <row r="19" spans="1:19" x14ac:dyDescent="0.2">
      <c r="A19" s="1518"/>
      <c r="B19" s="1519"/>
      <c r="C19" s="1519"/>
      <c r="D19" s="288"/>
      <c r="E19" s="1660" t="s">
        <v>166</v>
      </c>
      <c r="F19" s="1664"/>
      <c r="G19" s="578"/>
      <c r="I19" s="1081">
        <f t="shared" si="0"/>
        <v>0</v>
      </c>
      <c r="J19"/>
      <c r="K19"/>
      <c r="Q19" s="306"/>
      <c r="R19" s="306"/>
      <c r="S19" s="199"/>
    </row>
    <row r="20" spans="1:19" x14ac:dyDescent="0.2">
      <c r="A20" s="1518"/>
      <c r="B20" s="1519"/>
      <c r="C20" s="1519"/>
      <c r="D20" s="288"/>
      <c r="E20" s="1660" t="s">
        <v>167</v>
      </c>
      <c r="F20" s="1664"/>
      <c r="G20" s="578"/>
      <c r="I20" s="1081">
        <f t="shared" si="0"/>
        <v>0</v>
      </c>
      <c r="J20"/>
      <c r="K20"/>
      <c r="Q20" s="306"/>
      <c r="R20" s="306"/>
      <c r="S20" s="199"/>
    </row>
    <row r="21" spans="1:19" x14ac:dyDescent="0.2">
      <c r="A21" s="1518"/>
      <c r="B21" s="1519"/>
      <c r="C21" s="1519"/>
      <c r="D21" s="288"/>
      <c r="E21" s="1660" t="s">
        <v>1255</v>
      </c>
      <c r="F21" s="1664"/>
      <c r="G21" s="578"/>
      <c r="I21" s="1081">
        <f t="shared" si="0"/>
        <v>0</v>
      </c>
      <c r="J21"/>
      <c r="K21"/>
      <c r="Q21" s="306"/>
      <c r="R21" s="306"/>
      <c r="S21" s="199"/>
    </row>
    <row r="22" spans="1:19" x14ac:dyDescent="0.2">
      <c r="A22" s="1518"/>
      <c r="B22" s="1519"/>
      <c r="C22" s="1519"/>
      <c r="D22" s="288"/>
      <c r="E22" s="1660" t="s">
        <v>1256</v>
      </c>
      <c r="F22" s="1664"/>
      <c r="G22" s="578"/>
      <c r="I22" s="1081">
        <f t="shared" si="0"/>
        <v>0</v>
      </c>
      <c r="J22"/>
      <c r="K22"/>
      <c r="Q22" s="306"/>
      <c r="R22" s="306"/>
      <c r="S22" s="199"/>
    </row>
    <row r="23" spans="1:19" x14ac:dyDescent="0.2">
      <c r="A23" s="1518"/>
      <c r="B23" s="1519"/>
      <c r="C23" s="1519"/>
      <c r="D23" s="288"/>
      <c r="E23" s="1660" t="s">
        <v>1257</v>
      </c>
      <c r="F23" s="1664"/>
      <c r="G23" s="578"/>
      <c r="I23" s="1081">
        <f t="shared" si="0"/>
        <v>0</v>
      </c>
      <c r="J23"/>
      <c r="K23"/>
      <c r="Q23" s="306"/>
      <c r="R23" s="306"/>
      <c r="S23" s="199"/>
    </row>
    <row r="24" spans="1:19" x14ac:dyDescent="0.2">
      <c r="A24" s="1518"/>
      <c r="B24" s="1519"/>
      <c r="C24" s="1519"/>
      <c r="D24" s="288"/>
      <c r="E24" s="1660" t="s">
        <v>1258</v>
      </c>
      <c r="F24" s="1664"/>
      <c r="G24" s="578"/>
      <c r="I24" s="1081">
        <f t="shared" si="0"/>
        <v>0</v>
      </c>
      <c r="J24"/>
      <c r="K24"/>
      <c r="Q24" s="306"/>
      <c r="R24" s="306"/>
      <c r="S24" s="199"/>
    </row>
    <row r="25" spans="1:19" x14ac:dyDescent="0.2">
      <c r="A25" s="1518"/>
      <c r="B25" s="1519"/>
      <c r="C25" s="1519"/>
      <c r="D25" s="288"/>
      <c r="E25" s="1660" t="s">
        <v>1259</v>
      </c>
      <c r="F25" s="1664"/>
      <c r="G25" s="578"/>
      <c r="I25" s="1081">
        <f t="shared" si="0"/>
        <v>0</v>
      </c>
      <c r="J25"/>
      <c r="K25"/>
      <c r="Q25" s="306"/>
      <c r="R25" s="306"/>
      <c r="S25" s="199"/>
    </row>
    <row r="26" spans="1:19" x14ac:dyDescent="0.2">
      <c r="A26" s="1518"/>
      <c r="B26" s="1519"/>
      <c r="C26" s="1519"/>
      <c r="D26" s="288"/>
      <c r="E26" s="1660" t="s">
        <v>1260</v>
      </c>
      <c r="F26" s="1664"/>
      <c r="G26" s="1075"/>
      <c r="I26" s="1081">
        <f t="shared" si="0"/>
        <v>0</v>
      </c>
      <c r="J26"/>
      <c r="K26"/>
      <c r="Q26" s="765"/>
      <c r="R26" s="765"/>
      <c r="S26" s="199"/>
    </row>
    <row r="27" spans="1:19" x14ac:dyDescent="0.2">
      <c r="A27" s="1518"/>
      <c r="B27" s="1519"/>
      <c r="C27" s="1519"/>
      <c r="D27" s="288"/>
      <c r="E27" s="1660" t="s">
        <v>1261</v>
      </c>
      <c r="F27" s="1664"/>
      <c r="G27" s="1075"/>
      <c r="I27" s="1081">
        <f t="shared" si="0"/>
        <v>0</v>
      </c>
      <c r="J27"/>
      <c r="K27"/>
      <c r="Q27" s="765"/>
      <c r="R27" s="765"/>
      <c r="S27" s="199"/>
    </row>
    <row r="28" spans="1:19" x14ac:dyDescent="0.2">
      <c r="A28" s="1518"/>
      <c r="B28" s="1519"/>
      <c r="C28" s="1519"/>
      <c r="D28" s="288"/>
      <c r="E28" s="1660" t="s">
        <v>1262</v>
      </c>
      <c r="F28" s="1661"/>
      <c r="G28" s="1075"/>
      <c r="I28" s="1081">
        <f t="shared" si="0"/>
        <v>0</v>
      </c>
      <c r="J28"/>
      <c r="K28"/>
      <c r="Q28" s="765"/>
      <c r="R28" s="765"/>
      <c r="S28" s="199"/>
    </row>
    <row r="29" spans="1:19" x14ac:dyDescent="0.2">
      <c r="A29" s="1518"/>
      <c r="B29" s="1519"/>
      <c r="C29" s="1519"/>
      <c r="D29" s="288"/>
      <c r="E29" s="1660" t="s">
        <v>176</v>
      </c>
      <c r="F29" s="1664"/>
      <c r="G29" s="1075"/>
      <c r="I29" s="1081">
        <f t="shared" si="0"/>
        <v>0</v>
      </c>
      <c r="J29"/>
      <c r="K29"/>
      <c r="Q29" s="765"/>
      <c r="R29" s="765"/>
      <c r="S29" s="199"/>
    </row>
    <row r="30" spans="1:19" x14ac:dyDescent="0.2">
      <c r="A30" s="1518"/>
      <c r="B30" s="1519"/>
      <c r="C30" s="1519"/>
      <c r="D30" s="288"/>
      <c r="E30" s="1660" t="s">
        <v>1263</v>
      </c>
      <c r="F30" s="1664"/>
      <c r="G30" s="1075"/>
      <c r="I30" s="1081">
        <f t="shared" si="0"/>
        <v>0</v>
      </c>
      <c r="J30"/>
      <c r="K30"/>
      <c r="Q30" s="765"/>
      <c r="R30" s="765"/>
      <c r="S30" s="199"/>
    </row>
    <row r="31" spans="1:19" ht="17.75" customHeight="1" x14ac:dyDescent="0.2">
      <c r="A31" s="1518"/>
      <c r="B31" s="1519"/>
      <c r="C31" s="1519"/>
      <c r="D31" s="288"/>
      <c r="E31" s="1660" t="s">
        <v>1264</v>
      </c>
      <c r="F31" s="1664"/>
      <c r="G31" s="578"/>
      <c r="I31" s="1081">
        <f t="shared" si="0"/>
        <v>0</v>
      </c>
      <c r="J31"/>
      <c r="K31"/>
      <c r="Q31" s="306"/>
      <c r="R31" s="306"/>
      <c r="S31" s="199"/>
    </row>
    <row r="32" spans="1:19" ht="17.75" customHeight="1" x14ac:dyDescent="0.2">
      <c r="A32" s="1518"/>
      <c r="B32" s="1519"/>
      <c r="C32" s="1519"/>
      <c r="D32" s="288"/>
      <c r="E32" s="1660" t="s">
        <v>177</v>
      </c>
      <c r="F32" s="1664"/>
      <c r="G32" s="578"/>
      <c r="I32" s="1081">
        <f t="shared" si="0"/>
        <v>0</v>
      </c>
      <c r="J32"/>
      <c r="K32"/>
      <c r="Q32" s="306"/>
      <c r="R32" s="306"/>
      <c r="S32" s="199"/>
    </row>
    <row r="33" spans="1:28" ht="17.75" customHeight="1" x14ac:dyDescent="0.2">
      <c r="A33" s="1518"/>
      <c r="B33" s="1519"/>
      <c r="C33" s="1519"/>
      <c r="D33" s="288"/>
      <c r="E33" s="1660" t="s">
        <v>178</v>
      </c>
      <c r="F33" s="1664"/>
      <c r="G33" s="578"/>
      <c r="I33" s="1081">
        <f t="shared" si="0"/>
        <v>0</v>
      </c>
      <c r="J33"/>
      <c r="K33"/>
      <c r="Q33" s="306"/>
      <c r="R33" s="306"/>
      <c r="S33" s="199"/>
    </row>
    <row r="34" spans="1:28" ht="17.75" customHeight="1" x14ac:dyDescent="0.2">
      <c r="A34" s="1518"/>
      <c r="B34" s="1519"/>
      <c r="C34" s="1519"/>
      <c r="D34" s="288"/>
      <c r="E34" s="1660" t="s">
        <v>1265</v>
      </c>
      <c r="F34" s="1664"/>
      <c r="G34" s="578"/>
      <c r="I34" s="1081">
        <f t="shared" si="0"/>
        <v>0</v>
      </c>
      <c r="J34"/>
      <c r="K34"/>
      <c r="Q34" s="306"/>
      <c r="R34" s="306"/>
      <c r="S34" s="199"/>
    </row>
    <row r="35" spans="1:28" ht="17.75" customHeight="1" x14ac:dyDescent="0.2">
      <c r="A35" s="1518"/>
      <c r="B35" s="1519"/>
      <c r="C35" s="1519"/>
      <c r="D35" s="288"/>
      <c r="E35" s="1660" t="s">
        <v>179</v>
      </c>
      <c r="F35" s="1664"/>
      <c r="G35" s="578"/>
      <c r="I35" s="1081">
        <f t="shared" si="0"/>
        <v>0</v>
      </c>
      <c r="J35"/>
      <c r="K35"/>
      <c r="Q35" s="306"/>
      <c r="R35" s="306"/>
      <c r="S35" s="199"/>
    </row>
    <row r="36" spans="1:28" ht="17.75" customHeight="1" x14ac:dyDescent="0.2">
      <c r="A36" s="1518"/>
      <c r="B36" s="1519"/>
      <c r="C36" s="1519"/>
      <c r="D36" s="288"/>
      <c r="E36" s="1660" t="s">
        <v>1266</v>
      </c>
      <c r="F36" s="1664"/>
      <c r="G36" s="1075"/>
      <c r="I36" s="1081">
        <f t="shared" si="0"/>
        <v>0</v>
      </c>
      <c r="J36"/>
      <c r="K36"/>
      <c r="Q36" s="765"/>
      <c r="R36" s="765"/>
      <c r="S36" s="199"/>
    </row>
    <row r="37" spans="1:28" ht="17.75" customHeight="1" x14ac:dyDescent="0.2">
      <c r="A37" s="1518"/>
      <c r="B37" s="1519"/>
      <c r="C37" s="1519"/>
      <c r="D37" s="288"/>
      <c r="E37" s="1660" t="s">
        <v>180</v>
      </c>
      <c r="F37" s="1664"/>
      <c r="G37" s="1075"/>
      <c r="I37" s="1081">
        <f t="shared" si="0"/>
        <v>0</v>
      </c>
      <c r="J37"/>
      <c r="K37"/>
      <c r="Q37" s="765"/>
      <c r="R37" s="765"/>
      <c r="S37" s="199"/>
    </row>
    <row r="38" spans="1:28" ht="17.75" customHeight="1" x14ac:dyDescent="0.2">
      <c r="A38" s="1518"/>
      <c r="B38" s="1519"/>
      <c r="C38" s="1519"/>
      <c r="D38" s="288"/>
      <c r="E38" s="1660" t="s">
        <v>181</v>
      </c>
      <c r="F38" s="1664"/>
      <c r="G38" s="1075"/>
      <c r="I38" s="1081">
        <f t="shared" si="0"/>
        <v>0</v>
      </c>
      <c r="J38" s="1082">
        <f>SUM(I13:I38)</f>
        <v>0</v>
      </c>
      <c r="K38"/>
      <c r="Q38" s="765"/>
      <c r="R38" s="765"/>
      <c r="S38" s="199"/>
    </row>
    <row r="39" spans="1:28" ht="16" thickBot="1" x14ac:dyDescent="0.25">
      <c r="A39" s="516" t="s">
        <v>1015</v>
      </c>
      <c r="B39" s="288"/>
      <c r="C39" s="341">
        <v>2</v>
      </c>
      <c r="D39" s="1666" t="s">
        <v>449</v>
      </c>
      <c r="E39" s="1666"/>
      <c r="F39" s="1666"/>
      <c r="G39" s="578"/>
      <c r="J39" s="345" t="s">
        <v>68</v>
      </c>
      <c r="K39" s="1080" t="s">
        <v>7</v>
      </c>
      <c r="Q39" s="306"/>
      <c r="R39" s="306"/>
      <c r="S39" s="199"/>
    </row>
    <row r="40" spans="1:28" ht="16" thickBot="1" x14ac:dyDescent="0.25">
      <c r="A40" s="516" t="s">
        <v>1016</v>
      </c>
      <c r="B40" s="288"/>
      <c r="C40" s="341">
        <v>2</v>
      </c>
      <c r="D40" s="1665" t="s">
        <v>159</v>
      </c>
      <c r="E40" s="1665"/>
      <c r="F40" s="1665"/>
      <c r="G40" s="578"/>
      <c r="J40" s="345" t="str">
        <f>IF(B40=2,"Documentation of browndfield status","none")</f>
        <v>none</v>
      </c>
      <c r="K40" s="1080">
        <f>IF(B40=2,"[  ]",0)</f>
        <v>0</v>
      </c>
      <c r="Q40" s="306"/>
      <c r="R40" s="306"/>
      <c r="S40" s="199"/>
      <c r="AB40" s="336">
        <f>IF(K40="[  ]","[  ]",1)</f>
        <v>1</v>
      </c>
    </row>
    <row r="41" spans="1:28" ht="16" thickBot="1" x14ac:dyDescent="0.25">
      <c r="A41" s="1515"/>
      <c r="B41" s="275">
        <f>SUM(B5:B40)</f>
        <v>0</v>
      </c>
      <c r="C41" s="341">
        <v>26</v>
      </c>
      <c r="D41" s="1665" t="s">
        <v>943</v>
      </c>
      <c r="E41" s="1665"/>
      <c r="F41" s="1665"/>
      <c r="G41" s="1667"/>
      <c r="K41" s="1080"/>
      <c r="Q41" s="129"/>
      <c r="R41" s="129"/>
    </row>
    <row r="42" spans="1:28" ht="10.5" customHeight="1" thickBot="1" x14ac:dyDescent="0.25">
      <c r="A42" s="1662"/>
      <c r="B42" s="1516"/>
      <c r="C42" s="1516"/>
      <c r="D42" s="1516"/>
      <c r="E42" s="1516"/>
      <c r="F42" s="1559"/>
      <c r="G42" s="1668"/>
      <c r="K42" s="1080"/>
    </row>
    <row r="43" spans="1:28" ht="20" thickBot="1" x14ac:dyDescent="0.3">
      <c r="A43" s="1663"/>
      <c r="B43" s="276">
        <f>IF(B41&gt;15,15,B41)</f>
        <v>0</v>
      </c>
      <c r="C43" s="1672" t="s">
        <v>160</v>
      </c>
      <c r="D43" s="1672"/>
      <c r="E43" s="1672"/>
      <c r="F43" s="1672"/>
      <c r="G43" s="1668"/>
      <c r="H43" s="362"/>
      <c r="I43" s="362"/>
      <c r="K43" s="1080"/>
    </row>
    <row r="44" spans="1:28" ht="10.5" customHeight="1" x14ac:dyDescent="0.2">
      <c r="A44" s="517"/>
      <c r="B44" s="1516"/>
      <c r="C44" s="1516"/>
      <c r="D44" s="1516"/>
      <c r="E44" s="1516"/>
      <c r="F44" s="1559"/>
      <c r="G44" s="1668"/>
    </row>
    <row r="45" spans="1:28" ht="16" thickBot="1" x14ac:dyDescent="0.25">
      <c r="A45" s="1673" t="s">
        <v>161</v>
      </c>
      <c r="B45" s="1674"/>
      <c r="C45" s="1674"/>
      <c r="D45" s="1675"/>
      <c r="E45" s="1671"/>
      <c r="F45" s="1671"/>
      <c r="G45" s="1669"/>
      <c r="H45" s="760"/>
      <c r="I45" s="760"/>
      <c r="J45" s="306"/>
    </row>
    <row r="46" spans="1:28" x14ac:dyDescent="0.2">
      <c r="H46" s="18" t="s">
        <v>7</v>
      </c>
      <c r="J46" s="462"/>
    </row>
    <row r="47" spans="1:28" x14ac:dyDescent="0.2">
      <c r="H47" s="18" t="s">
        <v>75</v>
      </c>
      <c r="I47" s="18" t="s">
        <v>75</v>
      </c>
      <c r="J47" s="462"/>
    </row>
    <row r="48" spans="1:28" x14ac:dyDescent="0.2">
      <c r="H48" s="18" t="s">
        <v>495</v>
      </c>
      <c r="I48" s="18" t="s">
        <v>495</v>
      </c>
      <c r="J48" s="462"/>
    </row>
    <row r="49" spans="8:10" x14ac:dyDescent="0.2">
      <c r="H49" s="18">
        <v>2</v>
      </c>
      <c r="I49" s="18">
        <v>4</v>
      </c>
      <c r="J49" s="462"/>
    </row>
    <row r="50" spans="8:10" x14ac:dyDescent="0.2">
      <c r="H50" s="18">
        <v>3</v>
      </c>
      <c r="J50" s="462"/>
    </row>
    <row r="51" spans="8:10" x14ac:dyDescent="0.2">
      <c r="H51" s="18">
        <v>4</v>
      </c>
      <c r="J51" s="462"/>
    </row>
    <row r="52" spans="8:10" x14ac:dyDescent="0.2">
      <c r="H52" s="18" t="s">
        <v>75</v>
      </c>
      <c r="I52" s="18" t="e">
        <f>IF(AND(#REF!&gt;=10,#REF!&lt;20),1,0)+IF(AND(#REF!&gt;=20,#REF!&lt;30),2,0)+IF(AND(#REF!&gt;=30,#REF!&lt;40),3,0)+IF(AND(#REF!&gt;=40),4,0)+IF(#REF!&gt;100,"errorr")</f>
        <v>#REF!</v>
      </c>
      <c r="J52" s="462"/>
    </row>
    <row r="53" spans="8:10" x14ac:dyDescent="0.2">
      <c r="H53" s="18" t="s">
        <v>495</v>
      </c>
      <c r="J53" s="462"/>
    </row>
    <row r="54" spans="8:10" x14ac:dyDescent="0.2">
      <c r="H54" s="18">
        <v>1</v>
      </c>
      <c r="J54" s="462"/>
    </row>
    <row r="55" spans="8:10" x14ac:dyDescent="0.2">
      <c r="H55" s="18">
        <v>2</v>
      </c>
      <c r="I55" s="1281">
        <f>IF(D13=$H$64,1,0)</f>
        <v>0</v>
      </c>
      <c r="J55" s="462"/>
    </row>
    <row r="56" spans="8:10" x14ac:dyDescent="0.2">
      <c r="H56" s="18">
        <v>3</v>
      </c>
      <c r="I56" s="1281">
        <f t="shared" ref="I56:I80" si="1">IF(D14=$H$64,1,0)</f>
        <v>0</v>
      </c>
      <c r="J56" s="462"/>
    </row>
    <row r="57" spans="8:10" x14ac:dyDescent="0.2">
      <c r="H57" s="18">
        <v>4</v>
      </c>
      <c r="I57" s="1281">
        <f t="shared" si="1"/>
        <v>0</v>
      </c>
      <c r="J57" s="462"/>
    </row>
    <row r="58" spans="8:10" x14ac:dyDescent="0.2">
      <c r="H58" s="18">
        <v>5</v>
      </c>
      <c r="I58" s="1281">
        <f t="shared" si="1"/>
        <v>0</v>
      </c>
      <c r="J58" s="462"/>
    </row>
    <row r="59" spans="8:10" x14ac:dyDescent="0.2">
      <c r="H59" s="18">
        <v>6</v>
      </c>
      <c r="I59" s="1281">
        <f t="shared" si="1"/>
        <v>0</v>
      </c>
      <c r="J59" s="462"/>
    </row>
    <row r="60" spans="8:10" x14ac:dyDescent="0.2">
      <c r="H60" s="1079"/>
      <c r="I60" s="1281">
        <f t="shared" si="1"/>
        <v>0</v>
      </c>
      <c r="J60" s="462"/>
    </row>
    <row r="61" spans="8:10" x14ac:dyDescent="0.2">
      <c r="H61" s="1079"/>
      <c r="I61" s="1281">
        <f t="shared" si="1"/>
        <v>0</v>
      </c>
      <c r="J61" s="462"/>
    </row>
    <row r="62" spans="8:10" x14ac:dyDescent="0.2">
      <c r="H62" s="1079" t="s">
        <v>75</v>
      </c>
      <c r="I62" s="1281">
        <f t="shared" si="1"/>
        <v>0</v>
      </c>
      <c r="J62" s="462"/>
    </row>
    <row r="63" spans="8:10" x14ac:dyDescent="0.2">
      <c r="H63" s="1079" t="s">
        <v>495</v>
      </c>
      <c r="I63" s="1281">
        <f t="shared" si="1"/>
        <v>0</v>
      </c>
      <c r="J63" s="462"/>
    </row>
    <row r="64" spans="8:10" x14ac:dyDescent="0.2">
      <c r="H64" s="1079" t="s">
        <v>18</v>
      </c>
      <c r="I64" s="1281">
        <f t="shared" si="1"/>
        <v>0</v>
      </c>
      <c r="J64" s="462"/>
    </row>
    <row r="65" spans="8:10" x14ac:dyDescent="0.2">
      <c r="H65" s="1079" t="s">
        <v>19</v>
      </c>
      <c r="I65" s="1281">
        <f t="shared" si="1"/>
        <v>0</v>
      </c>
      <c r="J65" s="462"/>
    </row>
    <row r="66" spans="8:10" x14ac:dyDescent="0.2">
      <c r="H66" s="1079"/>
      <c r="I66" s="1281">
        <f t="shared" si="1"/>
        <v>0</v>
      </c>
      <c r="J66" s="462"/>
    </row>
    <row r="67" spans="8:10" x14ac:dyDescent="0.2">
      <c r="H67" s="1079"/>
      <c r="I67" s="1281">
        <f t="shared" si="1"/>
        <v>0</v>
      </c>
      <c r="J67" s="462"/>
    </row>
    <row r="68" spans="8:10" x14ac:dyDescent="0.2">
      <c r="H68" s="1079" t="s">
        <v>75</v>
      </c>
      <c r="I68" s="1281">
        <f t="shared" si="1"/>
        <v>0</v>
      </c>
      <c r="J68" s="462"/>
    </row>
    <row r="69" spans="8:10" x14ac:dyDescent="0.2">
      <c r="H69" s="1079" t="s">
        <v>495</v>
      </c>
      <c r="I69" s="1281">
        <f t="shared" si="1"/>
        <v>0</v>
      </c>
      <c r="J69" s="462"/>
    </row>
    <row r="70" spans="8:10" x14ac:dyDescent="0.2">
      <c r="H70" s="1145" t="s">
        <v>182</v>
      </c>
      <c r="I70" s="1281">
        <f t="shared" si="1"/>
        <v>0</v>
      </c>
      <c r="J70" s="462"/>
    </row>
    <row r="71" spans="8:10" x14ac:dyDescent="0.2">
      <c r="I71" s="1281">
        <f t="shared" si="1"/>
        <v>0</v>
      </c>
      <c r="J71" s="462"/>
    </row>
    <row r="72" spans="8:10" x14ac:dyDescent="0.2">
      <c r="H72" s="1079"/>
      <c r="I72" s="1281">
        <f t="shared" si="1"/>
        <v>0</v>
      </c>
      <c r="J72" s="462"/>
    </row>
    <row r="73" spans="8:10" x14ac:dyDescent="0.2">
      <c r="H73" s="1079" t="s">
        <v>1296</v>
      </c>
      <c r="I73" s="1281">
        <f t="shared" si="1"/>
        <v>0</v>
      </c>
      <c r="J73" s="462"/>
    </row>
    <row r="74" spans="8:10" x14ac:dyDescent="0.2">
      <c r="H74" s="1079" t="s">
        <v>495</v>
      </c>
      <c r="I74" s="1281">
        <f>IF(D32=$H$64,1,0)</f>
        <v>0</v>
      </c>
      <c r="J74" s="462"/>
    </row>
    <row r="75" spans="8:10" x14ac:dyDescent="0.2">
      <c r="H75" s="1079">
        <v>2</v>
      </c>
      <c r="I75" s="1281">
        <f t="shared" si="1"/>
        <v>0</v>
      </c>
      <c r="J75" s="462"/>
    </row>
    <row r="76" spans="8:10" x14ac:dyDescent="0.2">
      <c r="H76" s="1079">
        <v>3</v>
      </c>
      <c r="I76" s="1281">
        <f t="shared" si="1"/>
        <v>0</v>
      </c>
      <c r="J76" s="462"/>
    </row>
    <row r="77" spans="8:10" x14ac:dyDescent="0.2">
      <c r="H77" s="1079">
        <v>6</v>
      </c>
      <c r="I77" s="1281">
        <f t="shared" si="1"/>
        <v>0</v>
      </c>
      <c r="J77" s="462"/>
    </row>
    <row r="78" spans="8:10" x14ac:dyDescent="0.2">
      <c r="H78" s="1079"/>
      <c r="I78" s="1281">
        <f t="shared" si="1"/>
        <v>0</v>
      </c>
      <c r="J78" s="462"/>
    </row>
    <row r="79" spans="8:10" x14ac:dyDescent="0.2">
      <c r="H79" s="1079"/>
      <c r="I79" s="1281">
        <f t="shared" si="1"/>
        <v>0</v>
      </c>
      <c r="J79" s="462"/>
    </row>
    <row r="80" spans="8:10" x14ac:dyDescent="0.2">
      <c r="H80" s="1079"/>
      <c r="I80" s="1281">
        <f t="shared" si="1"/>
        <v>0</v>
      </c>
      <c r="J80" s="462"/>
    </row>
    <row r="81" spans="9:10" x14ac:dyDescent="0.2">
      <c r="I81" s="1282">
        <f>SUM(I55:I80)</f>
        <v>0</v>
      </c>
      <c r="J81" s="462"/>
    </row>
    <row r="82" spans="9:10" x14ac:dyDescent="0.2">
      <c r="I82" s="1283">
        <f>I81</f>
        <v>0</v>
      </c>
      <c r="J82" s="462"/>
    </row>
    <row r="83" spans="9:10" x14ac:dyDescent="0.2">
      <c r="I83" s="1281"/>
    </row>
    <row r="84" spans="9:10" x14ac:dyDescent="0.2">
      <c r="I84" s="1281"/>
    </row>
  </sheetData>
  <sheetProtection algorithmName="SHA-512" hashValue="w18OpcTjLvkiBAIjsEE4HD0OHLYzBfa8Zs/zG1qevLPvn3WO6vWPutnNxyYXAuWa6IOjM8tTz9YSk8Bj58Dd5Q==" saltValue="ftKCYWY4uwFj6vRysSXySQ==" spinCount="100000" sheet="1" insertHyperlinks="0" selectLockedCells="1"/>
  <mergeCells count="48">
    <mergeCell ref="D3:G3"/>
    <mergeCell ref="E27:F27"/>
    <mergeCell ref="A1:G1"/>
    <mergeCell ref="A4:F4"/>
    <mergeCell ref="D5:F5"/>
    <mergeCell ref="E14:F14"/>
    <mergeCell ref="E15:F15"/>
    <mergeCell ref="E16:F16"/>
    <mergeCell ref="E17:F17"/>
    <mergeCell ref="D11:F11"/>
    <mergeCell ref="D7:F7"/>
    <mergeCell ref="D8:F8"/>
    <mergeCell ref="A6:C6"/>
    <mergeCell ref="D9:F9"/>
    <mergeCell ref="D10:F10"/>
    <mergeCell ref="E19:F19"/>
    <mergeCell ref="G41:G45"/>
    <mergeCell ref="D12:F12"/>
    <mergeCell ref="E45:F45"/>
    <mergeCell ref="C43:F43"/>
    <mergeCell ref="E24:F24"/>
    <mergeCell ref="E29:F29"/>
    <mergeCell ref="E38:F38"/>
    <mergeCell ref="D41:F41"/>
    <mergeCell ref="E35:F35"/>
    <mergeCell ref="E36:F36"/>
    <mergeCell ref="E18:F18"/>
    <mergeCell ref="E13:F13"/>
    <mergeCell ref="A45:D45"/>
    <mergeCell ref="E25:F25"/>
    <mergeCell ref="E22:F22"/>
    <mergeCell ref="E23:F23"/>
    <mergeCell ref="B44:F44"/>
    <mergeCell ref="E28:F28"/>
    <mergeCell ref="A41:A43"/>
    <mergeCell ref="B42:F42"/>
    <mergeCell ref="E21:F21"/>
    <mergeCell ref="A13:C38"/>
    <mergeCell ref="D40:F40"/>
    <mergeCell ref="E37:F37"/>
    <mergeCell ref="D39:F39"/>
    <mergeCell ref="E20:F20"/>
    <mergeCell ref="E34:F34"/>
    <mergeCell ref="E26:F26"/>
    <mergeCell ref="E31:F31"/>
    <mergeCell ref="E32:F32"/>
    <mergeCell ref="E33:F33"/>
    <mergeCell ref="E30:F30"/>
  </mergeCells>
  <phoneticPr fontId="13" type="noConversion"/>
  <conditionalFormatting sqref="K5">
    <cfRule type="cellIs" dxfId="112" priority="1" stopIfTrue="1" operator="equal">
      <formula>$AB$5</formula>
    </cfRule>
  </conditionalFormatting>
  <conditionalFormatting sqref="K7">
    <cfRule type="cellIs" dxfId="111" priority="2" stopIfTrue="1" operator="equal">
      <formula>$AB$7</formula>
    </cfRule>
  </conditionalFormatting>
  <dataValidations count="5">
    <dataValidation type="list" allowBlank="1" showInputMessage="1" showErrorMessage="1" sqref="D13:D38" xr:uid="{00000000-0002-0000-0A00-000000000000}">
      <formula1>$H$62:$H$65</formula1>
    </dataValidation>
    <dataValidation type="list" allowBlank="1" showInputMessage="1" showErrorMessage="1" sqref="B9" xr:uid="{00000000-0002-0000-0A00-000001000000}">
      <formula1>$H$52:$H$54</formula1>
    </dataValidation>
    <dataValidation type="list" allowBlank="1" showInputMessage="1" showErrorMessage="1" sqref="B39:B40 B11 B7:B8" xr:uid="{00000000-0002-0000-0A00-000002000000}">
      <formula1>$H$46:$H$49</formula1>
    </dataValidation>
    <dataValidation type="list" allowBlank="1" showInputMessage="1" showErrorMessage="1" sqref="B10" xr:uid="{00000000-0002-0000-0A00-000003000000}">
      <formula1>$H$46:$H$51</formula1>
    </dataValidation>
    <dataValidation type="list" allowBlank="1" showInputMessage="1" showErrorMessage="1" sqref="B5" xr:uid="{3704239D-8764-B949-B9F3-0160EC00C252}">
      <formula1>$H$72:$H$77</formula1>
    </dataValidation>
  </dataValidations>
  <pageMargins left="0.45" right="0.45" top="0.5" bottom="0.75" header="0.3" footer="0.3"/>
  <pageSetup scale="73" orientation="landscape" cellComments="asDisplayed" r:id="rId1"/>
  <headerFooter>
    <oddFooter>&amp;C&amp;G&amp;R&amp;P of &amp;N</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71"/>
  <sheetViews>
    <sheetView zoomScale="160" zoomScaleNormal="160" zoomScalePageLayoutView="130" workbookViewId="0">
      <selection activeCell="B24" sqref="B24"/>
    </sheetView>
  </sheetViews>
  <sheetFormatPr baseColWidth="10" defaultColWidth="8.6640625" defaultRowHeight="15" x14ac:dyDescent="0.2"/>
  <cols>
    <col min="1" max="1" width="5.6640625" style="94" customWidth="1"/>
    <col min="2" max="4" width="7.6640625" style="94" customWidth="1"/>
    <col min="5" max="5" width="30.6640625" style="94" customWidth="1"/>
    <col min="6" max="6" width="7.5" style="94" customWidth="1"/>
    <col min="7" max="7" width="37.5" style="94" customWidth="1"/>
    <col min="8" max="8" width="41" style="94" customWidth="1"/>
    <col min="9" max="9" width="4.6640625" style="94" customWidth="1"/>
    <col min="10" max="10" width="75.6640625" style="94" customWidth="1"/>
    <col min="11" max="11" width="8.6640625" style="94"/>
    <col min="12" max="12" width="8.6640625" style="364"/>
    <col min="13" max="18" width="8.6640625" style="94"/>
    <col min="19" max="19" width="4.5" style="94" customWidth="1"/>
    <col min="20" max="26" width="9.1640625" style="94" customWidth="1"/>
    <col min="27" max="27" width="27.5" style="94" customWidth="1"/>
    <col min="28" max="28" width="9.1640625" style="94" customWidth="1"/>
    <col min="29" max="29" width="8.6640625" style="323"/>
    <col min="30" max="16384" width="8.6640625" style="94"/>
  </cols>
  <sheetData>
    <row r="1" spans="1:29" s="129" customFormat="1" ht="19" x14ac:dyDescent="0.25">
      <c r="A1" s="1617" t="s">
        <v>787</v>
      </c>
      <c r="B1" s="1618"/>
      <c r="C1" s="1618"/>
      <c r="D1" s="1618"/>
      <c r="E1" s="1618"/>
      <c r="F1" s="1618"/>
      <c r="G1" s="1618"/>
      <c r="H1" s="1619"/>
      <c r="I1" s="93"/>
      <c r="J1" s="93"/>
      <c r="AC1" s="322"/>
    </row>
    <row r="2" spans="1:29" ht="16" x14ac:dyDescent="0.2">
      <c r="A2" s="656" t="s">
        <v>222</v>
      </c>
      <c r="B2" s="657"/>
      <c r="C2" s="657"/>
      <c r="D2" s="657"/>
      <c r="E2" s="657"/>
      <c r="F2" s="657"/>
      <c r="G2" s="657"/>
      <c r="H2" s="689" t="str">
        <f>'1. Instructions'!B5</f>
        <v>Revised 4-5-2022</v>
      </c>
    </row>
    <row r="3" spans="1:29" ht="15.75" customHeight="1" x14ac:dyDescent="0.2">
      <c r="A3" s="518" t="s">
        <v>433</v>
      </c>
      <c r="B3" s="1690" t="s">
        <v>7</v>
      </c>
      <c r="C3" s="1690"/>
      <c r="D3" s="1701" t="s">
        <v>788</v>
      </c>
      <c r="E3" s="1702"/>
      <c r="F3" s="1702"/>
      <c r="G3" s="1702"/>
      <c r="H3" s="1703"/>
    </row>
    <row r="4" spans="1:29" ht="15" customHeight="1" x14ac:dyDescent="0.2">
      <c r="A4" s="1651"/>
      <c r="B4" s="1519"/>
      <c r="C4" s="1519"/>
      <c r="D4" s="1704"/>
      <c r="E4" s="1705"/>
      <c r="F4" s="1705"/>
      <c r="G4" s="1705"/>
      <c r="H4" s="1706"/>
    </row>
    <row r="5" spans="1:29" ht="29.25" customHeight="1" x14ac:dyDescent="0.2">
      <c r="A5" s="519"/>
      <c r="B5" s="325" t="s">
        <v>765</v>
      </c>
      <c r="C5" s="325" t="s">
        <v>766</v>
      </c>
      <c r="D5" s="1590" t="s">
        <v>31</v>
      </c>
      <c r="E5" s="1676"/>
      <c r="F5" s="1676"/>
      <c r="G5" s="1676"/>
      <c r="H5" s="1677"/>
      <c r="J5" s="520" t="s">
        <v>69</v>
      </c>
    </row>
    <row r="6" spans="1:29" ht="16" x14ac:dyDescent="0.2">
      <c r="A6" s="1543" t="s">
        <v>1202</v>
      </c>
      <c r="B6" s="1544"/>
      <c r="C6" s="1544"/>
      <c r="D6" s="1544"/>
      <c r="E6" s="1544"/>
      <c r="F6" s="1544"/>
      <c r="G6" s="1544"/>
      <c r="H6" s="326" t="s">
        <v>762</v>
      </c>
      <c r="I6" s="316"/>
      <c r="J6" s="186" t="s">
        <v>847</v>
      </c>
      <c r="K6" s="333" t="s">
        <v>23</v>
      </c>
    </row>
    <row r="7" spans="1:29" hidden="1" x14ac:dyDescent="0.2">
      <c r="A7" s="489" t="s">
        <v>1018</v>
      </c>
      <c r="B7" s="291"/>
      <c r="C7" s="339">
        <v>2</v>
      </c>
      <c r="D7" s="1691" t="s">
        <v>186</v>
      </c>
      <c r="E7" s="1692"/>
      <c r="F7" s="1692"/>
      <c r="G7" s="1693"/>
      <c r="H7" s="578"/>
      <c r="I7" s="198"/>
      <c r="J7" s="577" t="str">
        <f>IF(B7=2,"Tree/native plant identification survey and photo or other documentation of each technique.","none")</f>
        <v>none</v>
      </c>
      <c r="K7" s="491">
        <f>IF(B7=2,"[  ]",0)</f>
        <v>0</v>
      </c>
      <c r="AC7" s="521">
        <f>IF(K7="[  ]","[  ]",1)</f>
        <v>1</v>
      </c>
    </row>
    <row r="8" spans="1:29" ht="14.25" hidden="1" customHeight="1" x14ac:dyDescent="0.2">
      <c r="A8" s="489" t="s">
        <v>1019</v>
      </c>
      <c r="B8" s="275">
        <f>IF(D10=I63,2,0)+IF(D10=I64,1,0)</f>
        <v>0</v>
      </c>
      <c r="C8" s="346" t="s">
        <v>47</v>
      </c>
      <c r="D8" s="1687" t="s">
        <v>187</v>
      </c>
      <c r="E8" s="1688"/>
      <c r="F8" s="1688"/>
      <c r="G8" s="1689"/>
      <c r="H8" s="578"/>
      <c r="I8" s="315"/>
      <c r="J8" s="345" t="str">
        <f>IF(B8&gt;0,"Photos of barricaded site","none")</f>
        <v>none</v>
      </c>
      <c r="K8" s="491">
        <f>IF(B8&gt;0,"[  ]",0)</f>
        <v>0</v>
      </c>
      <c r="AC8" s="336">
        <f>IF(K8="[  ]","[  ]",1)</f>
        <v>1</v>
      </c>
    </row>
    <row r="9" spans="1:29" hidden="1" x14ac:dyDescent="0.2">
      <c r="A9" s="1518"/>
      <c r="B9" s="1519"/>
      <c r="C9" s="1519"/>
      <c r="D9" s="1694" t="s">
        <v>215</v>
      </c>
      <c r="E9" s="1695"/>
      <c r="F9" s="1695"/>
      <c r="G9" s="1696"/>
      <c r="H9" s="578"/>
      <c r="I9" s="315"/>
      <c r="J9" s="199"/>
    </row>
    <row r="10" spans="1:29" hidden="1" x14ac:dyDescent="0.2">
      <c r="A10" s="1518"/>
      <c r="B10" s="1519"/>
      <c r="C10" s="1519"/>
      <c r="D10" s="1700" t="s">
        <v>495</v>
      </c>
      <c r="E10" s="1700"/>
      <c r="F10" s="1700"/>
      <c r="G10" s="1700"/>
      <c r="H10" s="578"/>
      <c r="I10" s="315"/>
      <c r="J10" s="199"/>
    </row>
    <row r="11" spans="1:29" hidden="1" x14ac:dyDescent="0.2">
      <c r="A11" s="489" t="s">
        <v>1020</v>
      </c>
      <c r="B11" s="291"/>
      <c r="C11" s="341">
        <v>2</v>
      </c>
      <c r="D11" s="1697" t="s">
        <v>188</v>
      </c>
      <c r="E11" s="1698"/>
      <c r="F11" s="1698"/>
      <c r="G11" s="1699"/>
      <c r="H11" s="578"/>
      <c r="I11" s="315"/>
      <c r="J11" s="345" t="str">
        <f>IF(B11=2,"Name and location or nursery or alternate site","none")</f>
        <v>none</v>
      </c>
      <c r="K11" s="491">
        <f>IF(B11=2,"[  ]",0)</f>
        <v>0</v>
      </c>
      <c r="AC11" s="336">
        <f>IF(K11="[  ]","[  ]",1)</f>
        <v>1</v>
      </c>
    </row>
    <row r="12" spans="1:29" hidden="1" x14ac:dyDescent="0.2">
      <c r="A12" s="489" t="s">
        <v>1084</v>
      </c>
      <c r="B12" s="275">
        <f>IF(AND(D13&gt;=10,D13&lt;20),1,0)+IF(AND(D13&gt;=20,D13&lt;30),2,0)+IF(AND(D13&gt;=30,D13&lt;40),3,0)+IF(AND(D13&gt;=40,D13&lt;50),4,0)+IF(AND(D13&gt;=50,D13&lt;60),5,0)+IF(AND(D13&gt;=60,D13&lt;70),6,0)+IF(AND(D13&gt;=70,D13&lt;80),7,0)+IF(AND(D13&gt;=80,D13&lt;90),8,0)+IF(D13&gt;=90,9,0)</f>
        <v>0</v>
      </c>
      <c r="C12" s="346" t="s">
        <v>189</v>
      </c>
      <c r="D12" s="1697" t="s">
        <v>190</v>
      </c>
      <c r="E12" s="1698"/>
      <c r="F12" s="1698"/>
      <c r="G12" s="1699"/>
      <c r="H12" s="578"/>
      <c r="I12" s="315"/>
      <c r="J12" s="345" t="str">
        <f>IF(B12&gt;0,"Photo or description of effort","none")</f>
        <v>none</v>
      </c>
      <c r="K12" s="491">
        <f>IF(B12&gt;0,"[  ]",0)</f>
        <v>0</v>
      </c>
      <c r="AC12" s="336">
        <f>IF(K12="[  ]","[  ]",1)</f>
        <v>1</v>
      </c>
    </row>
    <row r="13" spans="1:29" hidden="1" x14ac:dyDescent="0.2">
      <c r="A13" s="1651"/>
      <c r="B13" s="1686"/>
      <c r="C13" s="1686"/>
      <c r="D13" s="320"/>
      <c r="E13" s="1697" t="s">
        <v>191</v>
      </c>
      <c r="F13" s="1698"/>
      <c r="G13" s="1699"/>
      <c r="H13" s="578"/>
      <c r="I13" s="199"/>
      <c r="J13" s="199"/>
    </row>
    <row r="14" spans="1:29" ht="10.5" hidden="1" customHeight="1" x14ac:dyDescent="0.2">
      <c r="A14" s="1528"/>
      <c r="B14" s="1529"/>
      <c r="C14" s="1529"/>
      <c r="D14" s="1529"/>
      <c r="E14" s="1529"/>
      <c r="F14" s="1529"/>
      <c r="G14" s="1529"/>
      <c r="H14" s="1709"/>
      <c r="I14" s="315"/>
      <c r="J14" s="199"/>
    </row>
    <row r="15" spans="1:29" ht="16" hidden="1" x14ac:dyDescent="0.2">
      <c r="A15" s="1543" t="s">
        <v>1203</v>
      </c>
      <c r="B15" s="1544"/>
      <c r="C15" s="1544"/>
      <c r="D15" s="1544"/>
      <c r="E15" s="1544"/>
      <c r="F15" s="1544"/>
      <c r="G15" s="1544"/>
      <c r="H15" s="326" t="s">
        <v>762</v>
      </c>
      <c r="I15" s="316"/>
      <c r="J15" s="593" t="s">
        <v>192</v>
      </c>
    </row>
    <row r="16" spans="1:29" ht="16" hidden="1" x14ac:dyDescent="0.2">
      <c r="A16" s="489" t="s">
        <v>1085</v>
      </c>
      <c r="B16" s="291"/>
      <c r="C16" s="341">
        <v>2</v>
      </c>
      <c r="D16" s="1697" t="s">
        <v>194</v>
      </c>
      <c r="E16" s="1698"/>
      <c r="F16" s="1698"/>
      <c r="G16" s="1699"/>
      <c r="H16" s="618"/>
      <c r="I16" s="422"/>
      <c r="J16" s="522" t="str">
        <f>IF(B16=2,"Describe number and size of trees that were milled and describe lumber produced","none")</f>
        <v>none</v>
      </c>
      <c r="K16" s="491">
        <f>IF(B16=2,"[  ]",0)</f>
        <v>0</v>
      </c>
      <c r="AC16" s="336">
        <f>IF(K16="[  ]","[  ]",1)</f>
        <v>1</v>
      </c>
    </row>
    <row r="17" spans="1:29" hidden="1" x14ac:dyDescent="0.2">
      <c r="A17" s="489" t="s">
        <v>1086</v>
      </c>
      <c r="B17" s="275">
        <f>IF(F18=I68,1,0)+IF(F18=I69,1,0)+IF(F18=I70,2,0)</f>
        <v>0</v>
      </c>
      <c r="C17" s="346" t="s">
        <v>47</v>
      </c>
      <c r="D17" s="1697" t="s">
        <v>193</v>
      </c>
      <c r="E17" s="1698"/>
      <c r="F17" s="1698"/>
      <c r="G17" s="1699"/>
      <c r="H17" s="578"/>
      <c r="I17" s="422"/>
      <c r="J17" s="345" t="str">
        <f>IF(B17&gt;0,"Describe reuse strategy and amount of material reused","none")</f>
        <v>none</v>
      </c>
      <c r="K17" s="491">
        <f>IF(B17&gt;0,"[  ]",0)</f>
        <v>0</v>
      </c>
      <c r="AC17" s="336">
        <f>IF(K17="[  ]","[  ]",1)</f>
        <v>1</v>
      </c>
    </row>
    <row r="18" spans="1:29" hidden="1" x14ac:dyDescent="0.2">
      <c r="A18" s="1718"/>
      <c r="B18" s="1719"/>
      <c r="C18" s="1720"/>
      <c r="D18" s="1694" t="s">
        <v>218</v>
      </c>
      <c r="E18" s="1696"/>
      <c r="F18" s="1717"/>
      <c r="G18" s="1717"/>
      <c r="H18" s="578"/>
      <c r="I18" s="306"/>
      <c r="J18" s="199"/>
    </row>
    <row r="19" spans="1:29" ht="10.5" customHeight="1" x14ac:dyDescent="0.2">
      <c r="A19" s="1528"/>
      <c r="B19" s="1529"/>
      <c r="C19" s="1529"/>
      <c r="D19" s="1529"/>
      <c r="E19" s="1529"/>
      <c r="F19" s="1529"/>
      <c r="G19" s="1529"/>
      <c r="H19" s="1709"/>
      <c r="I19" s="422"/>
      <c r="J19" s="199"/>
    </row>
    <row r="20" spans="1:29" ht="16" x14ac:dyDescent="0.2">
      <c r="A20" s="1707" t="s">
        <v>1204</v>
      </c>
      <c r="B20" s="1708"/>
      <c r="C20" s="1708"/>
      <c r="D20" s="1708"/>
      <c r="E20" s="1708"/>
      <c r="F20" s="1708"/>
      <c r="G20" s="1708"/>
      <c r="H20" s="326" t="s">
        <v>762</v>
      </c>
      <c r="I20" s="523"/>
      <c r="J20" s="327" t="s">
        <v>844</v>
      </c>
    </row>
    <row r="21" spans="1:29" x14ac:dyDescent="0.2">
      <c r="A21" s="489" t="s">
        <v>1087</v>
      </c>
      <c r="B21" s="291">
        <v>2</v>
      </c>
      <c r="C21" s="1038">
        <v>2</v>
      </c>
      <c r="D21" s="1721" t="s">
        <v>1197</v>
      </c>
      <c r="E21" s="1722"/>
      <c r="F21" s="1722"/>
      <c r="G21" s="1723"/>
      <c r="H21" s="578"/>
      <c r="I21" s="524"/>
      <c r="J21" s="589" t="str">
        <f>IF(B21=2,"Detailed plan","none")</f>
        <v>Detailed plan</v>
      </c>
      <c r="K21" s="491" t="str">
        <f>IF(B21=2,"[  ]",0)</f>
        <v>[  ]</v>
      </c>
      <c r="AC21" s="336" t="str">
        <f>IF(K21="[  ]","[  ]",1)</f>
        <v>[  ]</v>
      </c>
    </row>
    <row r="22" spans="1:29" hidden="1" x14ac:dyDescent="0.2">
      <c r="A22" s="489" t="s">
        <v>1088</v>
      </c>
      <c r="B22" s="288"/>
      <c r="C22" s="1038">
        <v>1</v>
      </c>
      <c r="D22" s="1710" t="s">
        <v>197</v>
      </c>
      <c r="E22" s="1682"/>
      <c r="F22" s="1682"/>
      <c r="G22" s="1683"/>
      <c r="H22" s="1284" t="s">
        <v>1399</v>
      </c>
      <c r="I22" s="422"/>
      <c r="J22" s="345" t="str">
        <f>IF(B22=1,"Photo or other documentation of BMPs employed","none")</f>
        <v>none</v>
      </c>
      <c r="K22" s="491">
        <f>IF(B22=1,"[  ]",0)</f>
        <v>0</v>
      </c>
      <c r="AC22" s="336">
        <f>IF(K22="[  ]","[  ]",1)</f>
        <v>1</v>
      </c>
    </row>
    <row r="23" spans="1:29" hidden="1" x14ac:dyDescent="0.2">
      <c r="A23" s="489" t="s">
        <v>1089</v>
      </c>
      <c r="B23" s="291"/>
      <c r="C23" s="1038">
        <v>2</v>
      </c>
      <c r="D23" s="1710" t="s">
        <v>198</v>
      </c>
      <c r="E23" s="1682"/>
      <c r="F23" s="1682"/>
      <c r="G23" s="1683"/>
      <c r="H23" s="1284" t="s">
        <v>1399</v>
      </c>
      <c r="I23" s="422"/>
      <c r="J23" s="345" t="str">
        <f>IF(B23=2,"Photo or other documentation of staging","none")</f>
        <v>none</v>
      </c>
      <c r="K23" s="491">
        <f>IF(B23=2,"[  ]",0)</f>
        <v>0</v>
      </c>
      <c r="AC23" s="336">
        <f>IF(K23="[  ]","[  ]",1)</f>
        <v>1</v>
      </c>
    </row>
    <row r="24" spans="1:29" x14ac:dyDescent="0.2">
      <c r="A24" s="489" t="s">
        <v>1090</v>
      </c>
      <c r="B24" s="288">
        <v>1</v>
      </c>
      <c r="C24" s="1038">
        <v>1</v>
      </c>
      <c r="D24" s="1711" t="s">
        <v>199</v>
      </c>
      <c r="E24" s="1712"/>
      <c r="F24" s="1712"/>
      <c r="G24" s="1713"/>
      <c r="H24" s="1284"/>
      <c r="I24" s="422"/>
      <c r="J24" s="345" t="str">
        <f>IF(B24=1,"Photo or other documentation of BMPs employed","none")</f>
        <v>Photo or other documentation of BMPs employed</v>
      </c>
      <c r="K24" s="491" t="str">
        <f>IF(B24=1,"[  ]",0)</f>
        <v>[  ]</v>
      </c>
      <c r="AC24" s="336" t="str">
        <f>IF(K24="[  ]","[  ]",1)</f>
        <v>[  ]</v>
      </c>
    </row>
    <row r="25" spans="1:29" x14ac:dyDescent="0.2">
      <c r="A25" s="489" t="s">
        <v>1091</v>
      </c>
      <c r="B25" s="288"/>
      <c r="C25" s="341">
        <v>1</v>
      </c>
      <c r="D25" s="1727" t="s">
        <v>1198</v>
      </c>
      <c r="E25" s="1728"/>
      <c r="F25" s="1728"/>
      <c r="G25" s="1729"/>
      <c r="H25" s="578" t="s">
        <v>1400</v>
      </c>
      <c r="I25" s="422"/>
      <c r="J25" s="345" t="str">
        <f>IF(B25=1,"Photo of covered soil","none")</f>
        <v>none</v>
      </c>
      <c r="K25" s="491">
        <f>IF(B25=1,"[  ]",0)</f>
        <v>0</v>
      </c>
      <c r="AC25" s="336">
        <f>IF(K25="[  ]","[  ]",1)</f>
        <v>1</v>
      </c>
    </row>
    <row r="26" spans="1:29" ht="10.5" customHeight="1" x14ac:dyDescent="0.2">
      <c r="A26" s="1515"/>
      <c r="B26" s="1516"/>
      <c r="C26" s="1516"/>
      <c r="D26" s="1516"/>
      <c r="E26" s="1516"/>
      <c r="F26" s="1516"/>
      <c r="G26" s="1516"/>
      <c r="H26" s="1517"/>
      <c r="I26" s="422"/>
      <c r="J26" s="199"/>
    </row>
    <row r="27" spans="1:29" ht="16" x14ac:dyDescent="0.2">
      <c r="A27" s="1707" t="s">
        <v>1205</v>
      </c>
      <c r="B27" s="1708"/>
      <c r="C27" s="1708"/>
      <c r="D27" s="1708"/>
      <c r="E27" s="1708"/>
      <c r="F27" s="1708"/>
      <c r="G27" s="1708"/>
      <c r="H27" s="326" t="s">
        <v>762</v>
      </c>
      <c r="I27" s="523"/>
      <c r="J27" s="327" t="s">
        <v>201</v>
      </c>
    </row>
    <row r="28" spans="1:29" hidden="1" x14ac:dyDescent="0.2">
      <c r="A28" s="496" t="s">
        <v>1092</v>
      </c>
      <c r="B28" s="291"/>
      <c r="C28" s="341">
        <v>2</v>
      </c>
      <c r="D28" s="1730" t="s">
        <v>202</v>
      </c>
      <c r="E28" s="1698"/>
      <c r="F28" s="1698"/>
      <c r="G28" s="1699"/>
      <c r="H28" s="618"/>
      <c r="I28" s="422"/>
      <c r="J28" s="345" t="str">
        <f>IF(B28=2,"Photo or plan layout of strategy","none")</f>
        <v>none</v>
      </c>
      <c r="K28" s="491">
        <f>IF(B28=2,"[  ]",0)</f>
        <v>0</v>
      </c>
      <c r="AC28" s="336">
        <f>IF(K28="[  ]","[  ]",1)</f>
        <v>1</v>
      </c>
    </row>
    <row r="29" spans="1:29" hidden="1" x14ac:dyDescent="0.2">
      <c r="A29" s="496" t="s">
        <v>1093</v>
      </c>
      <c r="B29" s="291"/>
      <c r="C29" s="341">
        <v>2</v>
      </c>
      <c r="D29" s="1730" t="s">
        <v>203</v>
      </c>
      <c r="E29" s="1698"/>
      <c r="F29" s="1698"/>
      <c r="G29" s="1699"/>
      <c r="H29" s="578"/>
      <c r="I29" s="422"/>
      <c r="J29" s="345" t="str">
        <f>IF(B29=2,"Photo or plan layout of strategy","none")</f>
        <v>none</v>
      </c>
      <c r="K29" s="491">
        <f>IF(B29=2,"[  ]",0)</f>
        <v>0</v>
      </c>
      <c r="AC29" s="336">
        <f>IF(K29="[  ]","[  ]",1)</f>
        <v>1</v>
      </c>
    </row>
    <row r="30" spans="1:29" x14ac:dyDescent="0.2">
      <c r="A30" s="496" t="s">
        <v>1094</v>
      </c>
      <c r="B30" s="290">
        <f>D35</f>
        <v>1</v>
      </c>
      <c r="C30" s="346" t="s">
        <v>41</v>
      </c>
      <c r="D30" s="1731" t="s">
        <v>204</v>
      </c>
      <c r="E30" s="1712"/>
      <c r="F30" s="1712"/>
      <c r="G30" s="1713"/>
      <c r="H30" s="1284" t="s">
        <v>1401</v>
      </c>
      <c r="I30" s="306"/>
      <c r="J30" s="345" t="str">
        <f>IF(B30&gt;0,"Submit similar diagram and calculation","none")</f>
        <v>Submit similar diagram and calculation</v>
      </c>
      <c r="K30" s="491" t="str">
        <f>IF(B30&gt;0,"[  ]",0)</f>
        <v>[  ]</v>
      </c>
      <c r="AC30" s="336" t="str">
        <f>IF(K30="[  ]","[  ]",1)</f>
        <v>[  ]</v>
      </c>
    </row>
    <row r="31" spans="1:29" x14ac:dyDescent="0.2">
      <c r="A31" s="1718"/>
      <c r="B31" s="1719"/>
      <c r="C31" s="1720"/>
      <c r="D31" s="1731" t="s">
        <v>205</v>
      </c>
      <c r="E31" s="1712"/>
      <c r="F31" s="1712"/>
      <c r="G31" s="1713"/>
      <c r="H31" s="578"/>
      <c r="I31" s="129"/>
      <c r="J31" s="129"/>
      <c r="K31" s="306"/>
      <c r="M31" s="306"/>
      <c r="N31" s="306"/>
      <c r="O31" s="306"/>
      <c r="P31" s="306"/>
      <c r="Q31" s="306"/>
      <c r="R31" s="306"/>
      <c r="S31" s="199"/>
      <c r="T31" s="199"/>
      <c r="U31" s="199"/>
      <c r="V31" s="199"/>
      <c r="W31" s="199"/>
      <c r="X31" s="199"/>
      <c r="Y31" s="199"/>
      <c r="Z31" s="199"/>
      <c r="AA31" s="199"/>
    </row>
    <row r="32" spans="1:29" x14ac:dyDescent="0.2">
      <c r="A32" s="1725"/>
      <c r="B32" s="1739"/>
      <c r="C32" s="1740"/>
      <c r="D32" s="320"/>
      <c r="E32" s="1321" t="s">
        <v>206</v>
      </c>
      <c r="F32" s="320">
        <v>100</v>
      </c>
      <c r="G32" s="1321" t="s">
        <v>207</v>
      </c>
      <c r="H32" s="578"/>
      <c r="I32" s="129"/>
      <c r="J32" s="306"/>
      <c r="K32" s="306"/>
      <c r="M32" s="306"/>
      <c r="N32" s="306"/>
      <c r="O32" s="306"/>
      <c r="P32" s="306"/>
      <c r="Q32" s="306"/>
      <c r="R32" s="306"/>
      <c r="S32" s="199"/>
      <c r="T32" s="199"/>
      <c r="U32" s="199"/>
      <c r="V32" s="199"/>
      <c r="W32" s="199"/>
      <c r="X32" s="199"/>
      <c r="Y32" s="199"/>
      <c r="Z32" s="199"/>
      <c r="AA32" s="199"/>
    </row>
    <row r="33" spans="1:29" x14ac:dyDescent="0.2">
      <c r="A33" s="1725"/>
      <c r="B33" s="1739"/>
      <c r="C33" s="1740"/>
      <c r="D33" s="320"/>
      <c r="E33" s="1321" t="s">
        <v>208</v>
      </c>
      <c r="F33" s="320">
        <v>30</v>
      </c>
      <c r="G33" s="1321" t="s">
        <v>209</v>
      </c>
      <c r="H33" s="578"/>
      <c r="I33" s="129"/>
      <c r="J33" s="306"/>
      <c r="K33" s="306"/>
      <c r="M33" s="306"/>
      <c r="N33" s="306"/>
      <c r="O33" s="306"/>
      <c r="P33" s="306"/>
      <c r="Q33" s="306"/>
      <c r="R33" s="306"/>
      <c r="S33" s="199"/>
      <c r="T33" s="199"/>
      <c r="U33" s="199"/>
      <c r="V33" s="199"/>
      <c r="W33" s="199"/>
      <c r="X33" s="199"/>
      <c r="Y33" s="199"/>
      <c r="Z33" s="199"/>
      <c r="AA33" s="199"/>
    </row>
    <row r="34" spans="1:29" x14ac:dyDescent="0.2">
      <c r="A34" s="1725"/>
      <c r="B34" s="1739"/>
      <c r="C34" s="1740"/>
      <c r="D34" s="275">
        <f>IF(D32&lt;=99,(D32/100)*D33,"error")</f>
        <v>0</v>
      </c>
      <c r="E34" s="1321" t="s">
        <v>210</v>
      </c>
      <c r="F34" s="275">
        <f>D34+F33</f>
        <v>30</v>
      </c>
      <c r="G34" s="1321" t="s">
        <v>211</v>
      </c>
      <c r="H34" s="578"/>
      <c r="I34" s="129"/>
      <c r="J34" s="306"/>
      <c r="K34" s="306"/>
      <c r="M34" s="306"/>
      <c r="N34" s="306"/>
      <c r="O34" s="306"/>
      <c r="P34" s="306"/>
      <c r="Q34" s="306"/>
      <c r="R34" s="306"/>
      <c r="S34" s="199"/>
      <c r="T34" s="199"/>
      <c r="U34" s="199"/>
      <c r="V34" s="199"/>
      <c r="W34" s="199"/>
      <c r="X34" s="199"/>
      <c r="Y34" s="199"/>
      <c r="Z34" s="199"/>
      <c r="AA34" s="199"/>
    </row>
    <row r="35" spans="1:29" x14ac:dyDescent="0.2">
      <c r="A35" s="1725"/>
      <c r="B35" s="1741"/>
      <c r="C35" s="1742"/>
      <c r="D35" s="290">
        <f>IF(F32&lt;(F33+D33),"error",IF((((F33+D34)/F32)/0.2)&gt;4,4,ROUNDDOWN((((F33+D34)/F32)/0.2),0)))</f>
        <v>1</v>
      </c>
      <c r="E35" s="1321" t="s">
        <v>212</v>
      </c>
      <c r="F35" s="1697"/>
      <c r="G35" s="1699"/>
      <c r="H35" s="578"/>
      <c r="I35" s="306"/>
      <c r="J35" s="306"/>
      <c r="K35" s="306"/>
      <c r="M35" s="306"/>
      <c r="N35" s="306"/>
      <c r="O35" s="306"/>
      <c r="P35" s="306"/>
      <c r="Q35" s="306"/>
      <c r="R35" s="306"/>
      <c r="S35" s="199"/>
      <c r="T35" s="199"/>
      <c r="U35" s="199"/>
      <c r="V35" s="199"/>
      <c r="W35" s="199"/>
      <c r="X35" s="199"/>
      <c r="Y35" s="199"/>
      <c r="Z35" s="199"/>
      <c r="AA35" s="199"/>
    </row>
    <row r="36" spans="1:29" x14ac:dyDescent="0.2">
      <c r="A36" s="1724"/>
      <c r="B36" s="275">
        <f>ROUNDDOWN(SUM(B7:B12,B16:B17,B21:B25,B28:B30),0)</f>
        <v>4</v>
      </c>
      <c r="C36" s="341">
        <v>34</v>
      </c>
      <c r="D36" s="1736" t="s">
        <v>943</v>
      </c>
      <c r="E36" s="1737"/>
      <c r="F36" s="1737"/>
      <c r="G36" s="1738"/>
      <c r="H36" s="1667"/>
      <c r="I36" s="129"/>
      <c r="J36" s="129"/>
      <c r="K36" s="129"/>
      <c r="M36" s="129"/>
      <c r="N36" s="129"/>
      <c r="O36" s="129"/>
      <c r="P36" s="129"/>
      <c r="Q36" s="129"/>
      <c r="R36" s="129"/>
    </row>
    <row r="37" spans="1:29" x14ac:dyDescent="0.2">
      <c r="A37" s="1725"/>
      <c r="B37" s="1735"/>
      <c r="C37" s="1715"/>
      <c r="D37" s="1715"/>
      <c r="E37" s="1715"/>
      <c r="F37" s="1715"/>
      <c r="G37" s="1716"/>
      <c r="H37" s="1668"/>
      <c r="I37" s="129"/>
      <c r="J37" s="129"/>
    </row>
    <row r="38" spans="1:29" ht="19" x14ac:dyDescent="0.25">
      <c r="A38" s="1726"/>
      <c r="B38" s="276">
        <f>IF(B36&gt;30,30,B36)</f>
        <v>4</v>
      </c>
      <c r="C38" s="1547" t="s">
        <v>213</v>
      </c>
      <c r="D38" s="1548"/>
      <c r="E38" s="1548"/>
      <c r="F38" s="1548"/>
      <c r="G38" s="1549"/>
      <c r="H38" s="1668"/>
      <c r="I38" s="128"/>
    </row>
    <row r="39" spans="1:29" ht="10.5" customHeight="1" x14ac:dyDescent="0.2">
      <c r="A39" s="1714"/>
      <c r="B39" s="1715"/>
      <c r="C39" s="1715"/>
      <c r="D39" s="1715"/>
      <c r="E39" s="1715"/>
      <c r="F39" s="1715"/>
      <c r="G39" s="1716"/>
      <c r="H39" s="1668"/>
    </row>
    <row r="40" spans="1:29" ht="16" thickBot="1" x14ac:dyDescent="0.25">
      <c r="A40" s="1673" t="s">
        <v>214</v>
      </c>
      <c r="B40" s="1674"/>
      <c r="C40" s="1674"/>
      <c r="D40" s="1675"/>
      <c r="E40" s="1732"/>
      <c r="F40" s="1733"/>
      <c r="G40" s="1734"/>
      <c r="H40" s="1669"/>
      <c r="I40" s="306"/>
      <c r="J40" s="306"/>
    </row>
    <row r="41" spans="1:29" x14ac:dyDescent="0.2">
      <c r="H41" s="525"/>
      <c r="I41" s="486" t="s">
        <v>7</v>
      </c>
      <c r="J41" s="486"/>
    </row>
    <row r="42" spans="1:29" x14ac:dyDescent="0.2">
      <c r="H42" s="525"/>
      <c r="I42" s="514" t="s">
        <v>75</v>
      </c>
      <c r="J42" s="525"/>
      <c r="AB42" s="323"/>
      <c r="AC42" s="94"/>
    </row>
    <row r="43" spans="1:29" x14ac:dyDescent="0.2">
      <c r="B43" s="526"/>
      <c r="C43" s="526"/>
      <c r="D43" s="526"/>
      <c r="E43" s="526"/>
      <c r="F43" s="527"/>
      <c r="G43" s="528"/>
      <c r="H43" s="525"/>
      <c r="I43" s="525" t="s">
        <v>495</v>
      </c>
      <c r="J43" s="525"/>
      <c r="AB43" s="323"/>
      <c r="AC43" s="94"/>
    </row>
    <row r="44" spans="1:29" x14ac:dyDescent="0.2">
      <c r="H44" s="525"/>
      <c r="I44" s="514">
        <v>1</v>
      </c>
      <c r="J44" s="525"/>
    </row>
    <row r="45" spans="1:29" ht="16" x14ac:dyDescent="0.2">
      <c r="B45" s="529"/>
      <c r="H45" s="525"/>
      <c r="I45" s="525" t="s">
        <v>7</v>
      </c>
      <c r="J45" s="525"/>
    </row>
    <row r="46" spans="1:29" ht="16" x14ac:dyDescent="0.2">
      <c r="B46" s="530"/>
      <c r="H46" s="525"/>
      <c r="I46" s="514" t="s">
        <v>75</v>
      </c>
      <c r="J46" s="525"/>
    </row>
    <row r="47" spans="1:29" ht="16" x14ac:dyDescent="0.2">
      <c r="B47" s="531"/>
      <c r="H47" s="525"/>
      <c r="I47" s="525" t="s">
        <v>495</v>
      </c>
      <c r="J47" s="525"/>
    </row>
    <row r="48" spans="1:29" ht="16" x14ac:dyDescent="0.2">
      <c r="B48" s="531"/>
      <c r="C48" s="509"/>
      <c r="H48" s="525"/>
      <c r="I48" s="514">
        <v>2</v>
      </c>
      <c r="J48" s="525"/>
    </row>
    <row r="49" spans="2:16" ht="16" x14ac:dyDescent="0.2">
      <c r="B49" s="531"/>
      <c r="H49" s="525"/>
      <c r="I49" s="525"/>
      <c r="J49" s="525"/>
    </row>
    <row r="50" spans="2:16" ht="16" x14ac:dyDescent="0.2">
      <c r="B50" s="531"/>
      <c r="C50" s="509"/>
      <c r="H50" s="525"/>
      <c r="I50" s="525"/>
      <c r="J50" s="525"/>
    </row>
    <row r="51" spans="2:16" ht="16" x14ac:dyDescent="0.2">
      <c r="B51" s="531"/>
      <c r="H51" s="525"/>
      <c r="I51" s="525" t="s">
        <v>7</v>
      </c>
      <c r="J51" s="525"/>
    </row>
    <row r="52" spans="2:16" ht="16" x14ac:dyDescent="0.2">
      <c r="B52" s="531"/>
      <c r="C52" s="532"/>
      <c r="H52" s="525"/>
      <c r="I52" s="525" t="s">
        <v>434</v>
      </c>
      <c r="J52" s="525"/>
      <c r="K52" s="360"/>
      <c r="M52" s="360"/>
      <c r="N52" s="360"/>
      <c r="O52" s="360"/>
      <c r="P52" s="360"/>
    </row>
    <row r="53" spans="2:16" ht="16" x14ac:dyDescent="0.2">
      <c r="B53" s="531"/>
      <c r="C53" s="532"/>
      <c r="H53" s="486"/>
      <c r="I53" s="486" t="s">
        <v>820</v>
      </c>
      <c r="J53" s="486"/>
      <c r="K53" s="360"/>
      <c r="M53" s="360"/>
      <c r="N53" s="360"/>
      <c r="O53" s="360"/>
      <c r="P53" s="360"/>
    </row>
    <row r="54" spans="2:16" ht="16" x14ac:dyDescent="0.2">
      <c r="B54" s="531"/>
      <c r="H54" s="486"/>
      <c r="I54" s="486"/>
      <c r="J54" s="486"/>
      <c r="K54" s="360"/>
      <c r="M54" s="360"/>
      <c r="N54" s="360"/>
      <c r="O54" s="360"/>
      <c r="P54" s="360"/>
    </row>
    <row r="55" spans="2:16" ht="16" x14ac:dyDescent="0.2">
      <c r="B55" s="531"/>
      <c r="C55" s="509"/>
      <c r="H55" s="486"/>
      <c r="I55" s="397"/>
      <c r="J55" s="486"/>
      <c r="K55" s="360"/>
      <c r="N55" s="360"/>
      <c r="O55" s="360"/>
      <c r="P55" s="360"/>
    </row>
    <row r="56" spans="2:16" ht="16" x14ac:dyDescent="0.2">
      <c r="B56" s="531"/>
      <c r="C56" s="509"/>
      <c r="H56" s="486"/>
      <c r="I56" s="484"/>
      <c r="J56" s="486"/>
      <c r="K56" s="360"/>
      <c r="M56" s="509"/>
      <c r="N56" s="360"/>
      <c r="O56" s="360"/>
      <c r="P56" s="360"/>
    </row>
    <row r="57" spans="2:16" ht="16" x14ac:dyDescent="0.2">
      <c r="B57" s="531"/>
      <c r="C57" s="509"/>
      <c r="H57" s="486"/>
      <c r="I57" s="397" t="s">
        <v>7</v>
      </c>
      <c r="J57" s="486"/>
      <c r="K57" s="360"/>
      <c r="N57" s="360"/>
      <c r="O57" s="360"/>
      <c r="P57" s="509"/>
    </row>
    <row r="58" spans="2:16" ht="16" x14ac:dyDescent="0.2">
      <c r="B58" s="531"/>
      <c r="C58" s="533"/>
      <c r="H58" s="486"/>
      <c r="I58" s="397" t="s">
        <v>495</v>
      </c>
      <c r="J58" s="486"/>
      <c r="K58" s="360"/>
      <c r="M58" s="360"/>
      <c r="N58" s="360"/>
      <c r="O58" s="360"/>
      <c r="P58" s="360"/>
    </row>
    <row r="59" spans="2:16" ht="16" x14ac:dyDescent="0.2">
      <c r="B59" s="531"/>
      <c r="H59" s="525"/>
      <c r="I59" s="514">
        <v>1</v>
      </c>
      <c r="J59" s="525"/>
      <c r="K59" s="360"/>
      <c r="M59" s="360"/>
      <c r="N59" s="360"/>
      <c r="O59" s="360"/>
      <c r="P59" s="360"/>
    </row>
    <row r="60" spans="2:16" ht="16" x14ac:dyDescent="0.2">
      <c r="B60" s="534"/>
      <c r="H60" s="525"/>
      <c r="I60" s="514">
        <v>2</v>
      </c>
      <c r="J60" s="525"/>
      <c r="K60" s="360"/>
      <c r="M60" s="360"/>
      <c r="N60" s="360"/>
      <c r="O60" s="360"/>
      <c r="P60" s="360"/>
    </row>
    <row r="61" spans="2:16" ht="16" x14ac:dyDescent="0.2">
      <c r="B61" s="534"/>
      <c r="H61" s="525"/>
      <c r="I61" s="514" t="s">
        <v>7</v>
      </c>
      <c r="J61" s="525"/>
    </row>
    <row r="62" spans="2:16" ht="16" x14ac:dyDescent="0.2">
      <c r="B62" s="534"/>
      <c r="H62" s="525"/>
      <c r="I62" s="514" t="s">
        <v>495</v>
      </c>
      <c r="J62" s="525"/>
    </row>
    <row r="63" spans="2:16" ht="16" x14ac:dyDescent="0.2">
      <c r="B63" s="534"/>
      <c r="H63" s="525"/>
      <c r="I63" s="535" t="s">
        <v>216</v>
      </c>
      <c r="J63" s="525"/>
    </row>
    <row r="64" spans="2:16" ht="16" x14ac:dyDescent="0.2">
      <c r="B64" s="534"/>
      <c r="H64" s="525"/>
      <c r="I64" s="535" t="s">
        <v>217</v>
      </c>
      <c r="J64" s="525"/>
    </row>
    <row r="65" spans="2:10" ht="16" x14ac:dyDescent="0.2">
      <c r="B65" s="534"/>
      <c r="H65" s="525"/>
      <c r="I65" s="514"/>
      <c r="J65" s="525"/>
    </row>
    <row r="66" spans="2:10" ht="16" x14ac:dyDescent="0.2">
      <c r="B66" s="534"/>
      <c r="H66" s="525"/>
      <c r="I66" s="514" t="s">
        <v>7</v>
      </c>
      <c r="J66" s="525"/>
    </row>
    <row r="67" spans="2:10" ht="16" x14ac:dyDescent="0.2">
      <c r="B67" s="531"/>
      <c r="H67" s="525"/>
      <c r="I67" s="514" t="s">
        <v>495</v>
      </c>
      <c r="J67" s="525"/>
    </row>
    <row r="68" spans="2:10" ht="16" x14ac:dyDescent="0.2">
      <c r="B68" s="530" t="s">
        <v>450</v>
      </c>
      <c r="C68" s="509"/>
      <c r="H68" s="525"/>
      <c r="I68" s="514" t="s">
        <v>219</v>
      </c>
      <c r="J68" s="525"/>
    </row>
    <row r="69" spans="2:10" x14ac:dyDescent="0.2">
      <c r="H69" s="525"/>
      <c r="I69" s="514" t="s">
        <v>220</v>
      </c>
      <c r="J69" s="525"/>
    </row>
    <row r="70" spans="2:10" x14ac:dyDescent="0.2">
      <c r="H70" s="525"/>
      <c r="I70" s="514" t="s">
        <v>221</v>
      </c>
      <c r="J70" s="525"/>
    </row>
    <row r="71" spans="2:10" x14ac:dyDescent="0.2">
      <c r="H71" s="525"/>
      <c r="I71" s="525"/>
      <c r="J71" s="525"/>
    </row>
  </sheetData>
  <sheetProtection algorithmName="SHA-512" hashValue="CXQOP4/WepnBRmDYMf4sEoRuXWc6Pa+LYn88pfVTvJWvZn7zWXUj5Eat0NHvuVGmlJV9nKlzDXcCEtmc1jNmwg==" saltValue="lQARI03Pxg13BtJLNx53nQ==" spinCount="100000" sheet="1" insertHyperlinks="0" selectLockedCells="1"/>
  <mergeCells count="45">
    <mergeCell ref="D31:G31"/>
    <mergeCell ref="A27:G27"/>
    <mergeCell ref="A26:H26"/>
    <mergeCell ref="A40:D40"/>
    <mergeCell ref="E40:G40"/>
    <mergeCell ref="B37:G37"/>
    <mergeCell ref="D36:G36"/>
    <mergeCell ref="A31:C35"/>
    <mergeCell ref="H36:H40"/>
    <mergeCell ref="D23:G23"/>
    <mergeCell ref="D24:G24"/>
    <mergeCell ref="D17:G17"/>
    <mergeCell ref="A39:G39"/>
    <mergeCell ref="C38:G38"/>
    <mergeCell ref="F18:G18"/>
    <mergeCell ref="D18:E18"/>
    <mergeCell ref="A18:C18"/>
    <mergeCell ref="D21:G21"/>
    <mergeCell ref="D22:G22"/>
    <mergeCell ref="A36:A38"/>
    <mergeCell ref="D25:G25"/>
    <mergeCell ref="D28:G28"/>
    <mergeCell ref="D29:G29"/>
    <mergeCell ref="F35:G35"/>
    <mergeCell ref="D30:G30"/>
    <mergeCell ref="A15:G15"/>
    <mergeCell ref="A20:G20"/>
    <mergeCell ref="A14:H14"/>
    <mergeCell ref="A19:H19"/>
    <mergeCell ref="D16:G16"/>
    <mergeCell ref="A1:H1"/>
    <mergeCell ref="D5:H5"/>
    <mergeCell ref="A13:C13"/>
    <mergeCell ref="A9:C10"/>
    <mergeCell ref="D8:G8"/>
    <mergeCell ref="B3:C3"/>
    <mergeCell ref="D7:G7"/>
    <mergeCell ref="D9:G9"/>
    <mergeCell ref="D11:G11"/>
    <mergeCell ref="D12:G12"/>
    <mergeCell ref="D10:G10"/>
    <mergeCell ref="A4:C4"/>
    <mergeCell ref="A6:G6"/>
    <mergeCell ref="D3:H4"/>
    <mergeCell ref="E13:G13"/>
  </mergeCells>
  <phoneticPr fontId="13" type="noConversion"/>
  <conditionalFormatting sqref="K7">
    <cfRule type="cellIs" dxfId="110" priority="15" stopIfTrue="1" operator="equal">
      <formula>$AC$7</formula>
    </cfRule>
  </conditionalFormatting>
  <conditionalFormatting sqref="K8">
    <cfRule type="cellIs" dxfId="109" priority="16" stopIfTrue="1" operator="equal">
      <formula>$AC$8</formula>
    </cfRule>
  </conditionalFormatting>
  <conditionalFormatting sqref="K11">
    <cfRule type="cellIs" dxfId="108" priority="17" stopIfTrue="1" operator="equal">
      <formula>$AC$11</formula>
    </cfRule>
  </conditionalFormatting>
  <conditionalFormatting sqref="K12">
    <cfRule type="cellIs" dxfId="107" priority="18" stopIfTrue="1" operator="equal">
      <formula>$AC$12</formula>
    </cfRule>
  </conditionalFormatting>
  <conditionalFormatting sqref="K16">
    <cfRule type="cellIs" dxfId="106" priority="19" stopIfTrue="1" operator="equal">
      <formula>$AC$16</formula>
    </cfRule>
  </conditionalFormatting>
  <conditionalFormatting sqref="K17">
    <cfRule type="cellIs" dxfId="105" priority="20" stopIfTrue="1" operator="equal">
      <formula>$AC$17</formula>
    </cfRule>
  </conditionalFormatting>
  <conditionalFormatting sqref="K21">
    <cfRule type="cellIs" dxfId="104" priority="21" stopIfTrue="1" operator="equal">
      <formula>$AC$21</formula>
    </cfRule>
  </conditionalFormatting>
  <conditionalFormatting sqref="K22">
    <cfRule type="cellIs" dxfId="103" priority="22" stopIfTrue="1" operator="equal">
      <formula>$AC$22</formula>
    </cfRule>
  </conditionalFormatting>
  <conditionalFormatting sqref="K23">
    <cfRule type="cellIs" dxfId="102" priority="23" stopIfTrue="1" operator="equal">
      <formula>$AC$23</formula>
    </cfRule>
  </conditionalFormatting>
  <conditionalFormatting sqref="K24">
    <cfRule type="cellIs" dxfId="101" priority="24" stopIfTrue="1" operator="equal">
      <formula>$AC$24</formula>
    </cfRule>
  </conditionalFormatting>
  <conditionalFormatting sqref="K25">
    <cfRule type="cellIs" dxfId="100" priority="25" stopIfTrue="1" operator="equal">
      <formula>$AC$25</formula>
    </cfRule>
  </conditionalFormatting>
  <conditionalFormatting sqref="K28">
    <cfRule type="cellIs" dxfId="99" priority="26" stopIfTrue="1" operator="equal">
      <formula>$AC$28</formula>
    </cfRule>
  </conditionalFormatting>
  <conditionalFormatting sqref="K29">
    <cfRule type="cellIs" dxfId="98" priority="27" stopIfTrue="1" operator="equal">
      <formula>$AC$29</formula>
    </cfRule>
  </conditionalFormatting>
  <conditionalFormatting sqref="K30">
    <cfRule type="cellIs" dxfId="97" priority="28" stopIfTrue="1" operator="equal">
      <formula>$AC$30</formula>
    </cfRule>
  </conditionalFormatting>
  <dataValidations count="5">
    <dataValidation type="list" allowBlank="1" showInputMessage="1" showErrorMessage="1" sqref="I56 D10" xr:uid="{00000000-0002-0000-0B00-000000000000}">
      <formula1>$I$61:$I$64</formula1>
    </dataValidation>
    <dataValidation type="list" allowBlank="1" showInputMessage="1" showErrorMessage="1" sqref="F18" xr:uid="{00000000-0002-0000-0B00-000001000000}">
      <formula1>$I$66:$I$70</formula1>
    </dataValidation>
    <dataValidation type="list" allowBlank="1" showInputMessage="1" showErrorMessage="1" sqref="B3:C3" xr:uid="{00000000-0002-0000-0B00-000002000000}">
      <formula1>understand</formula1>
    </dataValidation>
    <dataValidation type="list" allowBlank="1" showInputMessage="1" showErrorMessage="1" sqref="B7 B11 B16 B21 B23 B28:B29" xr:uid="{00000000-0002-0000-0B00-000003000000}">
      <formula1>$I$45:$I$48</formula1>
    </dataValidation>
    <dataValidation type="list" allowBlank="1" showInputMessage="1" showErrorMessage="1" sqref="B22 B24:B25" xr:uid="{00000000-0002-0000-0B00-000004000000}">
      <formula1>$I$41:$I$44</formula1>
    </dataValidation>
  </dataValidations>
  <pageMargins left="0.2" right="0.2" top="0.25" bottom="0.75" header="0.3" footer="0.3"/>
  <pageSetup scale="90" orientation="landscape" r:id="rId1"/>
  <headerFooter>
    <oddFooter>&amp;C&amp;G&amp;R&amp;P of &amp;N</oddFooter>
  </headerFooter>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146"/>
  <sheetViews>
    <sheetView zoomScale="150" zoomScaleNormal="150" zoomScaleSheetLayoutView="110" zoomScalePageLayoutView="110" workbookViewId="0">
      <selection activeCell="H51" sqref="H51"/>
    </sheetView>
  </sheetViews>
  <sheetFormatPr baseColWidth="10" defaultColWidth="8.6640625" defaultRowHeight="15" x14ac:dyDescent="0.2"/>
  <cols>
    <col min="1" max="1" width="11.6640625" style="1087" customWidth="1"/>
    <col min="2" max="4" width="7.6640625" style="1087" customWidth="1"/>
    <col min="5" max="5" width="28" style="1087" customWidth="1"/>
    <col min="6" max="6" width="7.6640625" style="1087" customWidth="1"/>
    <col min="7" max="7" width="52" style="1087" customWidth="1"/>
    <col min="8" max="8" width="25.33203125" style="1087" customWidth="1"/>
    <col min="9" max="9" width="4.6640625" style="391" customWidth="1"/>
    <col min="10" max="10" width="57.6640625" style="1092" customWidth="1"/>
    <col min="11" max="11" width="6.1640625" style="1087" customWidth="1"/>
    <col min="12" max="19" width="9.1640625" style="1087" customWidth="1"/>
    <col min="20" max="20" width="8.6640625" style="1088"/>
    <col min="21" max="16384" width="8.6640625" style="1087"/>
  </cols>
  <sheetData>
    <row r="1" spans="1:20" ht="19" x14ac:dyDescent="0.25">
      <c r="A1" s="1809" t="s">
        <v>790</v>
      </c>
      <c r="B1" s="1810"/>
      <c r="C1" s="1810"/>
      <c r="D1" s="1810"/>
      <c r="E1" s="1810"/>
      <c r="F1" s="1810"/>
      <c r="G1" s="1810"/>
      <c r="H1" s="1811"/>
      <c r="I1" s="1165"/>
      <c r="J1" s="1086"/>
    </row>
    <row r="2" spans="1:20" ht="16" x14ac:dyDescent="0.2">
      <c r="A2" s="1089" t="s">
        <v>338</v>
      </c>
      <c r="B2" s="1090"/>
      <c r="C2" s="1090"/>
      <c r="D2" s="1090"/>
      <c r="E2" s="1090"/>
      <c r="F2" s="1090"/>
      <c r="G2" s="1090"/>
      <c r="H2" s="1091"/>
    </row>
    <row r="3" spans="1:20" ht="30" customHeight="1" x14ac:dyDescent="0.2">
      <c r="A3" s="1093"/>
      <c r="B3" s="1094" t="s">
        <v>765</v>
      </c>
      <c r="C3" s="1094" t="s">
        <v>766</v>
      </c>
      <c r="D3" s="1807" t="s">
        <v>31</v>
      </c>
      <c r="E3" s="1807"/>
      <c r="F3" s="1807"/>
      <c r="G3" s="1807"/>
      <c r="H3" s="1808"/>
      <c r="J3" s="1095" t="s">
        <v>69</v>
      </c>
    </row>
    <row r="4" spans="1:20" ht="16" x14ac:dyDescent="0.2">
      <c r="A4" s="1788" t="s">
        <v>1206</v>
      </c>
      <c r="B4" s="1790"/>
      <c r="C4" s="1790"/>
      <c r="D4" s="1790"/>
      <c r="E4" s="1790"/>
      <c r="F4" s="1790"/>
      <c r="G4" s="1790"/>
      <c r="H4" s="1096" t="s">
        <v>762</v>
      </c>
      <c r="J4" s="1097" t="s">
        <v>240</v>
      </c>
      <c r="K4" s="1098" t="s">
        <v>23</v>
      </c>
    </row>
    <row r="5" spans="1:20" x14ac:dyDescent="0.2">
      <c r="A5" s="1099" t="s">
        <v>1121</v>
      </c>
      <c r="B5" s="1100">
        <v>3</v>
      </c>
      <c r="C5" s="1101">
        <v>3</v>
      </c>
      <c r="D5" s="1749" t="s">
        <v>1199</v>
      </c>
      <c r="E5" s="1750"/>
      <c r="F5" s="1750"/>
      <c r="G5" s="1751"/>
      <c r="H5" s="1284" t="s">
        <v>1414</v>
      </c>
      <c r="J5" s="1146" t="str">
        <f>IF(B5=3,"Photo or floor plan showing garage/carport or detail of air barrier","none")</f>
        <v>Photo or floor plan showing garage/carport or detail of air barrier</v>
      </c>
      <c r="K5" s="1103">
        <f>IF(B5=1,"[  ]",0)</f>
        <v>0</v>
      </c>
    </row>
    <row r="6" spans="1:20" hidden="1" x14ac:dyDescent="0.2">
      <c r="A6" s="1099" t="s">
        <v>1122</v>
      </c>
      <c r="B6" s="1100"/>
      <c r="C6" s="1101">
        <v>1</v>
      </c>
      <c r="D6" s="1749" t="s">
        <v>1200</v>
      </c>
      <c r="E6" s="1750"/>
      <c r="F6" s="1750"/>
      <c r="G6" s="1751"/>
      <c r="H6" s="1284"/>
      <c r="I6" s="392"/>
      <c r="J6" s="1146" t="str">
        <f>IF(B6=1,"Photos, cut sheet of fan, or plan detail","none")</f>
        <v>none</v>
      </c>
      <c r="K6" s="1103">
        <f>IF(B6=1,"[  ]",0)</f>
        <v>0</v>
      </c>
      <c r="T6" s="1104">
        <f>IF(K6="[  ]","[  ]",1)</f>
        <v>1</v>
      </c>
    </row>
    <row r="7" spans="1:20" ht="17" customHeight="1" x14ac:dyDescent="0.2">
      <c r="A7" s="1099" t="s">
        <v>1123</v>
      </c>
      <c r="B7" s="1100">
        <v>1</v>
      </c>
      <c r="C7" s="1101">
        <v>1</v>
      </c>
      <c r="D7" s="1804" t="s">
        <v>1201</v>
      </c>
      <c r="E7" s="1805"/>
      <c r="F7" s="1805"/>
      <c r="G7" s="1806"/>
      <c r="H7" s="1284" t="s">
        <v>1414</v>
      </c>
      <c r="I7" s="392"/>
      <c r="J7" s="1146" t="str">
        <f>IF(B7=1,"Photo, plan detail, or cut sheet of fireplace","none")</f>
        <v>Photo, plan detail, or cut sheet of fireplace</v>
      </c>
      <c r="K7" s="1105" t="str">
        <f>IF(B7=1,"[  ]",0)</f>
        <v>[  ]</v>
      </c>
      <c r="T7" s="1104" t="str">
        <f>IF(K7="[  ]","[  ]",1)</f>
        <v>[  ]</v>
      </c>
    </row>
    <row r="8" spans="1:20" x14ac:dyDescent="0.2">
      <c r="A8" s="1099" t="s">
        <v>1124</v>
      </c>
      <c r="B8" s="1106">
        <f>IF(OR(D10=I90,D11=I90,D12=I90),1,0)+IF(AND(D10=I90,OR(D11=I90,D12=I90)),"Error",0)+IF(AND(D11=I90,D12=I90),"Error",0)+IF(OR(F10=I90,F11=I90,F12=I90,F13=I90),1,0)+IF(AND(F10=I90,OR(F11=I90,F12=I90,F13=I90)),"Error",0)+IF(AND(F12=I90,OR(F10=I90,F11=I90,F13=I90)),"Error",0)+IF(AND(F13=I90,OR(F10=I90,F11=I90,F12=I90)),"Error",0)+IF(AND(F11=I90,OR(F10=I90,F12=I90,F13=I90)),"Error",0)</f>
        <v>2</v>
      </c>
      <c r="C8" s="1107" t="s">
        <v>47</v>
      </c>
      <c r="D8" s="1749" t="s">
        <v>244</v>
      </c>
      <c r="E8" s="1750"/>
      <c r="F8" s="1750"/>
      <c r="G8" s="1751"/>
      <c r="H8" s="1284" t="s">
        <v>1415</v>
      </c>
      <c r="I8" s="392"/>
      <c r="J8" s="1146" t="str">
        <f>IF(B8&gt;0,"Cut sheet of furnace, photos or plan detail of closet","none")</f>
        <v>Cut sheet of furnace, photos or plan detail of closet</v>
      </c>
      <c r="K8" s="1103" t="str">
        <f>IF(B8&gt;0,"[  ]",0)</f>
        <v>[  ]</v>
      </c>
      <c r="T8" s="1104" t="str">
        <f>IF(K8="[  ]","[  ]",1)</f>
        <v>[  ]</v>
      </c>
    </row>
    <row r="9" spans="1:20" x14ac:dyDescent="0.2">
      <c r="A9" s="1814"/>
      <c r="B9" s="1815"/>
      <c r="C9" s="1816"/>
      <c r="D9" s="1749" t="s">
        <v>245</v>
      </c>
      <c r="E9" s="1751"/>
      <c r="F9" s="1749" t="s">
        <v>246</v>
      </c>
      <c r="G9" s="1751"/>
      <c r="H9" s="1102"/>
      <c r="K9" s="1092"/>
      <c r="L9" s="1108"/>
      <c r="M9" s="1108"/>
      <c r="N9" s="1108"/>
      <c r="O9" s="1108"/>
      <c r="P9" s="1108"/>
      <c r="Q9" s="1108"/>
      <c r="R9" s="1108"/>
      <c r="S9" s="1109"/>
    </row>
    <row r="10" spans="1:20" x14ac:dyDescent="0.2">
      <c r="A10" s="1817"/>
      <c r="B10" s="1818"/>
      <c r="C10" s="1819"/>
      <c r="D10" s="1100" t="s">
        <v>18</v>
      </c>
      <c r="E10" s="1325" t="s">
        <v>247</v>
      </c>
      <c r="F10" s="1100" t="s">
        <v>18</v>
      </c>
      <c r="G10" s="1325" t="s">
        <v>247</v>
      </c>
      <c r="H10" s="1102"/>
      <c r="K10" s="1092"/>
      <c r="L10" s="1108"/>
      <c r="M10" s="1108"/>
      <c r="N10" s="1108"/>
      <c r="O10" s="1108"/>
      <c r="P10" s="1108"/>
      <c r="Q10" s="1108"/>
      <c r="R10" s="1108"/>
      <c r="S10" s="1109"/>
    </row>
    <row r="11" spans="1:20" hidden="1" x14ac:dyDescent="0.2">
      <c r="A11" s="1817"/>
      <c r="B11" s="1818"/>
      <c r="C11" s="1819"/>
      <c r="D11" s="1100"/>
      <c r="E11" s="1110" t="s">
        <v>248</v>
      </c>
      <c r="F11" s="1100"/>
      <c r="G11" s="1111" t="s">
        <v>248</v>
      </c>
      <c r="H11" s="1102"/>
      <c r="J11" s="1112"/>
      <c r="K11" s="1092"/>
      <c r="L11" s="1108"/>
      <c r="M11" s="1108"/>
      <c r="N11" s="1108"/>
      <c r="O11" s="1108"/>
      <c r="P11" s="1108"/>
      <c r="Q11" s="1108"/>
      <c r="R11" s="1108"/>
      <c r="S11" s="1109"/>
    </row>
    <row r="12" spans="1:20" hidden="1" x14ac:dyDescent="0.2">
      <c r="A12" s="1817"/>
      <c r="B12" s="1818"/>
      <c r="C12" s="1819"/>
      <c r="D12" s="1100"/>
      <c r="E12" s="1110" t="s">
        <v>249</v>
      </c>
      <c r="F12" s="1100"/>
      <c r="G12" s="1111" t="s">
        <v>249</v>
      </c>
      <c r="H12" s="1102"/>
      <c r="J12" s="1112"/>
      <c r="K12" s="1092"/>
      <c r="L12" s="1108"/>
      <c r="M12" s="1108"/>
      <c r="N12" s="1108"/>
      <c r="O12" s="1108"/>
      <c r="P12" s="1108"/>
      <c r="Q12" s="1108"/>
      <c r="R12" s="1108"/>
      <c r="S12" s="1109"/>
    </row>
    <row r="13" spans="1:20" hidden="1" x14ac:dyDescent="0.2">
      <c r="A13" s="1820"/>
      <c r="B13" s="1821"/>
      <c r="C13" s="1821"/>
      <c r="D13" s="1812"/>
      <c r="E13" s="1813"/>
      <c r="F13" s="1100"/>
      <c r="G13" s="1111" t="s">
        <v>250</v>
      </c>
      <c r="H13" s="1102"/>
      <c r="K13" s="1092"/>
      <c r="L13" s="1108"/>
      <c r="M13" s="1108"/>
      <c r="N13" s="1108"/>
      <c r="O13" s="1108"/>
      <c r="P13" s="1108"/>
      <c r="Q13" s="1108"/>
      <c r="R13" s="1108"/>
      <c r="S13" s="1109"/>
    </row>
    <row r="14" spans="1:20" ht="10.5" customHeight="1" x14ac:dyDescent="0.2">
      <c r="A14" s="1791"/>
      <c r="B14" s="1770"/>
      <c r="C14" s="1770"/>
      <c r="D14" s="1770"/>
      <c r="E14" s="1770"/>
      <c r="F14" s="1770"/>
      <c r="G14" s="1770"/>
      <c r="H14" s="1792"/>
      <c r="J14" s="1108"/>
      <c r="K14" s="1109"/>
    </row>
    <row r="15" spans="1:20" ht="16" x14ac:dyDescent="0.2">
      <c r="A15" s="1788" t="s">
        <v>1207</v>
      </c>
      <c r="B15" s="1790"/>
      <c r="C15" s="1790"/>
      <c r="D15" s="1790"/>
      <c r="E15" s="1790"/>
      <c r="F15" s="1790"/>
      <c r="G15" s="1790"/>
      <c r="H15" s="1096" t="s">
        <v>762</v>
      </c>
      <c r="J15" s="1113" t="s">
        <v>252</v>
      </c>
      <c r="K15" s="1109"/>
    </row>
    <row r="16" spans="1:20" hidden="1" x14ac:dyDescent="0.2">
      <c r="A16" s="1099" t="s">
        <v>1105</v>
      </c>
      <c r="B16" s="1100"/>
      <c r="C16" s="1101">
        <v>1</v>
      </c>
      <c r="D16" s="1802" t="s">
        <v>253</v>
      </c>
      <c r="E16" s="1755"/>
      <c r="F16" s="1755"/>
      <c r="G16" s="1756"/>
      <c r="H16" s="1102"/>
      <c r="J16" s="1146" t="str">
        <f>IF(B16=1,"Photo or plan detail of drainage strategy","none")</f>
        <v>none</v>
      </c>
      <c r="K16" s="1103">
        <f>IF(B16=1,"[  ]",0)</f>
        <v>0</v>
      </c>
      <c r="T16" s="1104">
        <f t="shared" ref="T16:T21" si="0">IF(K16="[  ]","[  ]",1)</f>
        <v>1</v>
      </c>
    </row>
    <row r="17" spans="1:20" hidden="1" x14ac:dyDescent="0.2">
      <c r="A17" s="1099" t="s">
        <v>1106</v>
      </c>
      <c r="B17" s="1100"/>
      <c r="C17" s="1101">
        <v>1</v>
      </c>
      <c r="D17" s="1802" t="s">
        <v>254</v>
      </c>
      <c r="E17" s="1755"/>
      <c r="F17" s="1755"/>
      <c r="G17" s="1756"/>
      <c r="H17" s="1102"/>
      <c r="J17" s="1146" t="str">
        <f>IF(B17=1,"Photo or plan detail of drainage strategy","none")</f>
        <v>none</v>
      </c>
      <c r="K17" s="1114">
        <f>IF(B17=1,"[  ]",0)</f>
        <v>0</v>
      </c>
      <c r="T17" s="1104">
        <f t="shared" si="0"/>
        <v>1</v>
      </c>
    </row>
    <row r="18" spans="1:20" hidden="1" x14ac:dyDescent="0.2">
      <c r="A18" s="1099" t="s">
        <v>1107</v>
      </c>
      <c r="B18" s="1100"/>
      <c r="C18" s="1101">
        <v>1</v>
      </c>
      <c r="D18" s="1802" t="s">
        <v>255</v>
      </c>
      <c r="E18" s="1755"/>
      <c r="F18" s="1755"/>
      <c r="G18" s="1756"/>
      <c r="H18" s="1102"/>
      <c r="J18" s="1146" t="str">
        <f>IF(B18=1,"Photo or plan detail of drainage strategy","none")</f>
        <v>none</v>
      </c>
      <c r="K18" s="1103">
        <f>IF(B18=1,"[  ]",0)</f>
        <v>0</v>
      </c>
      <c r="T18" s="1104">
        <f t="shared" si="0"/>
        <v>1</v>
      </c>
    </row>
    <row r="19" spans="1:20" x14ac:dyDescent="0.2">
      <c r="A19" s="1099" t="s">
        <v>1108</v>
      </c>
      <c r="B19" s="1100">
        <v>1</v>
      </c>
      <c r="C19" s="1115">
        <v>1</v>
      </c>
      <c r="D19" s="1749" t="s">
        <v>1267</v>
      </c>
      <c r="E19" s="1750"/>
      <c r="F19" s="1750"/>
      <c r="G19" s="1751"/>
      <c r="H19" s="1102"/>
      <c r="J19" s="1146" t="str">
        <f>IF(B19=1,"Photo or plan detail of drainage strategy","none")</f>
        <v>Photo or plan detail of drainage strategy</v>
      </c>
      <c r="K19" s="1103" t="str">
        <f>IF(B19=1,"[  ]",0)</f>
        <v>[  ]</v>
      </c>
      <c r="T19" s="1104" t="str">
        <f t="shared" si="0"/>
        <v>[  ]</v>
      </c>
    </row>
    <row r="20" spans="1:20" hidden="1" x14ac:dyDescent="0.2">
      <c r="A20" s="1099" t="s">
        <v>1109</v>
      </c>
      <c r="B20" s="1100"/>
      <c r="C20" s="1101">
        <v>1</v>
      </c>
      <c r="D20" s="1749" t="s">
        <v>257</v>
      </c>
      <c r="E20" s="1750"/>
      <c r="F20" s="1750"/>
      <c r="G20" s="1751"/>
      <c r="H20" s="1102"/>
      <c r="J20" s="1146" t="str">
        <f>IF(B20=1,"Photo or plan detail of drainage strategy","none")</f>
        <v>none</v>
      </c>
      <c r="K20" s="1103">
        <f>IF(B20=1,"[  ]",0)</f>
        <v>0</v>
      </c>
      <c r="T20" s="1104">
        <f t="shared" si="0"/>
        <v>1</v>
      </c>
    </row>
    <row r="21" spans="1:20" hidden="1" x14ac:dyDescent="0.2">
      <c r="A21" s="1099" t="s">
        <v>1110</v>
      </c>
      <c r="B21" s="1100"/>
      <c r="C21" s="1101">
        <v>3</v>
      </c>
      <c r="D21" s="1749" t="s">
        <v>258</v>
      </c>
      <c r="E21" s="1750"/>
      <c r="F21" s="1750"/>
      <c r="G21" s="1751"/>
      <c r="H21" s="1102"/>
      <c r="J21" s="1146" t="str">
        <f>IF(B21=3,"Photo or cut sheet of equipment","none")</f>
        <v>none</v>
      </c>
      <c r="K21" s="1105">
        <f>IF(B21=3,"[  ]",0)</f>
        <v>0</v>
      </c>
      <c r="T21" s="1104">
        <f t="shared" si="0"/>
        <v>1</v>
      </c>
    </row>
    <row r="22" spans="1:20" x14ac:dyDescent="0.2">
      <c r="A22" s="1099" t="s">
        <v>1111</v>
      </c>
      <c r="B22" s="1100">
        <v>1</v>
      </c>
      <c r="C22" s="1101">
        <v>1</v>
      </c>
      <c r="D22" s="1749" t="s">
        <v>259</v>
      </c>
      <c r="E22" s="1750"/>
      <c r="F22" s="1750"/>
      <c r="G22" s="1751"/>
      <c r="H22" s="1102"/>
      <c r="J22" s="1146" t="s">
        <v>68</v>
      </c>
      <c r="K22" s="1105">
        <f>IF(B22=3,"[  ]",0)</f>
        <v>0</v>
      </c>
      <c r="T22" s="1104"/>
    </row>
    <row r="23" spans="1:20" x14ac:dyDescent="0.2">
      <c r="A23" s="1116" t="s">
        <v>1112</v>
      </c>
      <c r="B23" s="1100">
        <v>1</v>
      </c>
      <c r="C23" s="1101">
        <v>1</v>
      </c>
      <c r="D23" s="1749" t="s">
        <v>971</v>
      </c>
      <c r="E23" s="1750"/>
      <c r="F23" s="1750"/>
      <c r="G23" s="1751"/>
      <c r="H23" s="1117"/>
      <c r="J23" s="1146" t="s">
        <v>1223</v>
      </c>
      <c r="K23" s="1105">
        <f>IF(B23=3,"[  ]",0)</f>
        <v>0</v>
      </c>
      <c r="T23" s="1104"/>
    </row>
    <row r="24" spans="1:20" hidden="1" x14ac:dyDescent="0.2">
      <c r="A24" s="1116" t="s">
        <v>1224</v>
      </c>
      <c r="B24" s="1100"/>
      <c r="C24" s="1101">
        <v>1</v>
      </c>
      <c r="D24" s="1802" t="s">
        <v>1268</v>
      </c>
      <c r="E24" s="1755"/>
      <c r="F24" s="1755"/>
      <c r="G24" s="1755"/>
      <c r="H24" s="1117"/>
      <c r="J24" s="1150" t="s">
        <v>1223</v>
      </c>
      <c r="K24" s="1105">
        <f>IF(B24=3,"[  ]",0)</f>
        <v>0</v>
      </c>
      <c r="T24" s="1104"/>
    </row>
    <row r="25" spans="1:20" ht="10.5" customHeight="1" x14ac:dyDescent="0.2">
      <c r="A25" s="1791"/>
      <c r="B25" s="1770"/>
      <c r="C25" s="1770"/>
      <c r="D25" s="1770"/>
      <c r="E25" s="1770"/>
      <c r="F25" s="1770"/>
      <c r="G25" s="1770"/>
      <c r="H25" s="1792"/>
      <c r="J25" s="1108"/>
      <c r="K25" s="1118"/>
      <c r="T25" s="1104"/>
    </row>
    <row r="26" spans="1:20" ht="16" x14ac:dyDescent="0.2">
      <c r="A26" s="1788" t="s">
        <v>1208</v>
      </c>
      <c r="B26" s="1790"/>
      <c r="C26" s="1790"/>
      <c r="D26" s="1790"/>
      <c r="E26" s="1790"/>
      <c r="F26" s="1790"/>
      <c r="G26" s="1790"/>
      <c r="H26" s="1096" t="s">
        <v>762</v>
      </c>
      <c r="J26" s="1119" t="s">
        <v>260</v>
      </c>
      <c r="K26" s="1118"/>
    </row>
    <row r="27" spans="1:20" x14ac:dyDescent="0.2">
      <c r="A27" s="1099" t="s">
        <v>1113</v>
      </c>
      <c r="B27" s="1100">
        <v>1</v>
      </c>
      <c r="C27" s="1101">
        <v>1</v>
      </c>
      <c r="D27" s="1749" t="s">
        <v>563</v>
      </c>
      <c r="E27" s="1750"/>
      <c r="F27" s="1750"/>
      <c r="G27" s="1751"/>
      <c r="H27" s="1102"/>
      <c r="J27" s="1146" t="s">
        <v>68</v>
      </c>
      <c r="K27" s="1120" t="s">
        <v>7</v>
      </c>
    </row>
    <row r="28" spans="1:20" hidden="1" x14ac:dyDescent="0.2">
      <c r="A28" s="338" t="s">
        <v>1114</v>
      </c>
      <c r="B28" s="1100"/>
      <c r="C28" s="1192">
        <v>2</v>
      </c>
      <c r="D28" s="1697" t="s">
        <v>1279</v>
      </c>
      <c r="E28" s="1755"/>
      <c r="F28" s="1755"/>
      <c r="G28" s="1756"/>
      <c r="H28" s="1121" t="str">
        <f>IF(B28=1,"can not also claim M1.8"," ")</f>
        <v xml:space="preserve"> </v>
      </c>
      <c r="J28" s="1146" t="str">
        <f>IF(B28=1,"Cut sheet of all finish coatings used","none")</f>
        <v>none</v>
      </c>
      <c r="K28" s="1103">
        <f>IF(B28=1,"[  ]",0)</f>
        <v>0</v>
      </c>
      <c r="T28" s="1104">
        <f>IF(K28="[  ]","[  ]",1)</f>
        <v>1</v>
      </c>
    </row>
    <row r="29" spans="1:20" x14ac:dyDescent="0.2">
      <c r="A29" s="1099" t="s">
        <v>1115</v>
      </c>
      <c r="B29" s="1100">
        <v>1</v>
      </c>
      <c r="C29" s="1101">
        <v>1</v>
      </c>
      <c r="D29" s="1749" t="s">
        <v>1280</v>
      </c>
      <c r="E29" s="1750"/>
      <c r="F29" s="1750"/>
      <c r="G29" s="1751"/>
      <c r="H29" s="1318" t="s">
        <v>1406</v>
      </c>
      <c r="J29" s="1146" t="str">
        <f>IF(B29=1,"Cut sheet of all finish coatings used","none")</f>
        <v>Cut sheet of all finish coatings used</v>
      </c>
      <c r="K29" s="1103" t="str">
        <f>IF(B29=1,"[  ]",0)</f>
        <v>[  ]</v>
      </c>
      <c r="T29" s="1104" t="str">
        <f>IF(K29="[  ]","[  ]",1)</f>
        <v>[  ]</v>
      </c>
    </row>
    <row r="30" spans="1:20" x14ac:dyDescent="0.2">
      <c r="A30" s="1099" t="s">
        <v>1116</v>
      </c>
      <c r="B30" s="1100">
        <v>1</v>
      </c>
      <c r="C30" s="1101">
        <v>1</v>
      </c>
      <c r="D30" s="1775" t="s">
        <v>1282</v>
      </c>
      <c r="E30" s="1776"/>
      <c r="F30" s="1776"/>
      <c r="G30" s="1777"/>
      <c r="H30" s="1318" t="s">
        <v>1406</v>
      </c>
      <c r="I30" s="392"/>
      <c r="J30" s="1188" t="str">
        <f>IF(B30=1,"Cut sheet of all sealants and adhesives used","none")</f>
        <v>Cut sheet of all sealants and adhesives used</v>
      </c>
      <c r="K30" s="1120" t="s">
        <v>7</v>
      </c>
      <c r="T30" s="1104"/>
    </row>
    <row r="31" spans="1:20" x14ac:dyDescent="0.2">
      <c r="A31" s="1099" t="s">
        <v>1117</v>
      </c>
      <c r="B31" s="1100"/>
      <c r="C31" s="1107" t="s">
        <v>47</v>
      </c>
      <c r="D31" s="1746" t="s">
        <v>1285</v>
      </c>
      <c r="E31" s="1747"/>
      <c r="F31" s="1747"/>
      <c r="G31" s="1748"/>
      <c r="H31" s="1121"/>
      <c r="J31" s="1146" t="str">
        <f>IF(B31=1,"Listing of types of flooring and accessories used and installation methods","none")</f>
        <v>none</v>
      </c>
      <c r="K31" s="1103">
        <f>IF(B31=1,"[  ]",0)</f>
        <v>0</v>
      </c>
      <c r="T31" s="1104">
        <f>IF(K31="[  ]","[  ]",1)</f>
        <v>1</v>
      </c>
    </row>
    <row r="32" spans="1:20" x14ac:dyDescent="0.2">
      <c r="A32" s="1099" t="s">
        <v>1118</v>
      </c>
      <c r="B32" s="1100">
        <v>1</v>
      </c>
      <c r="C32" s="1101">
        <v>1</v>
      </c>
      <c r="D32" s="1775" t="s">
        <v>1284</v>
      </c>
      <c r="E32" s="1776"/>
      <c r="F32" s="1776"/>
      <c r="G32" s="1777"/>
      <c r="H32" s="749" t="s">
        <v>1406</v>
      </c>
      <c r="J32" s="1146" t="str">
        <f>IF(B32=1,"Listing of types of insulation used","none")</f>
        <v>Listing of types of insulation used</v>
      </c>
      <c r="K32" s="1103" t="str">
        <f>IF(B32=1,"[  ]",0)</f>
        <v>[  ]</v>
      </c>
      <c r="T32" s="1104" t="str">
        <f>IF(K32="[  ]","[  ]",1)</f>
        <v>[  ]</v>
      </c>
    </row>
    <row r="33" spans="1:20" x14ac:dyDescent="0.2">
      <c r="A33" s="1099" t="s">
        <v>1119</v>
      </c>
      <c r="B33" s="1100">
        <v>1</v>
      </c>
      <c r="C33" s="1101">
        <v>1</v>
      </c>
      <c r="D33" s="1749" t="s">
        <v>1283</v>
      </c>
      <c r="E33" s="1750"/>
      <c r="F33" s="1750"/>
      <c r="G33" s="1751"/>
      <c r="H33" s="1102"/>
      <c r="I33" s="734"/>
      <c r="J33" s="1146" t="str">
        <f>IF(B33&lt;=2,"Photo","none")</f>
        <v>Photo</v>
      </c>
      <c r="K33" s="1105" t="str">
        <f>IF(B33=1,"[  ]",0)</f>
        <v>[  ]</v>
      </c>
      <c r="T33" s="1104" t="str">
        <f>IF(K33="[  ]","[  ]",1)</f>
        <v>[  ]</v>
      </c>
    </row>
    <row r="34" spans="1:20" x14ac:dyDescent="0.2">
      <c r="A34" s="1099" t="s">
        <v>1120</v>
      </c>
      <c r="B34" s="1100">
        <v>1</v>
      </c>
      <c r="C34" s="1101">
        <v>1</v>
      </c>
      <c r="D34" s="1775" t="s">
        <v>755</v>
      </c>
      <c r="E34" s="1778"/>
      <c r="F34" s="1778"/>
      <c r="G34" s="1779"/>
      <c r="H34" s="1318" t="s">
        <v>1405</v>
      </c>
      <c r="I34" s="734"/>
      <c r="J34" s="1188" t="str">
        <f>IF(B34&lt;=2,"Photo","none")</f>
        <v>Photo</v>
      </c>
      <c r="K34" s="1105" t="str">
        <f>IF(B34=1,"[  ]",0)</f>
        <v>[  ]</v>
      </c>
      <c r="T34" s="1104"/>
    </row>
    <row r="35" spans="1:20" hidden="1" x14ac:dyDescent="0.2">
      <c r="A35" s="1099" t="s">
        <v>1278</v>
      </c>
      <c r="B35" s="1100"/>
      <c r="C35" s="1101">
        <v>3</v>
      </c>
      <c r="D35" s="1802" t="s">
        <v>1281</v>
      </c>
      <c r="E35" s="1803"/>
      <c r="F35" s="1803"/>
      <c r="G35" s="1664"/>
      <c r="H35" s="1102"/>
      <c r="J35" s="1147" t="str">
        <f>IF(B35=3,"IPM plan that includes the identification of pests and monitoring plan, actionable thresholds, prevention methods, and control mechanisms.  Include the copy of section from homeowner's manual addressing IPM","none")</f>
        <v>none</v>
      </c>
      <c r="K35" s="1103">
        <f>IF(B35=3,"[  ]",0)</f>
        <v>0</v>
      </c>
      <c r="T35" s="1104">
        <f>IF(K35="[  ]","[  ]",1)</f>
        <v>1</v>
      </c>
    </row>
    <row r="36" spans="1:20" ht="10.5" customHeight="1" x14ac:dyDescent="0.2">
      <c r="A36" s="1791"/>
      <c r="B36" s="1770"/>
      <c r="C36" s="1770"/>
      <c r="D36" s="1770"/>
      <c r="E36" s="1770"/>
      <c r="F36" s="1770"/>
      <c r="G36" s="1770"/>
      <c r="H36" s="1792"/>
      <c r="J36" s="1193"/>
      <c r="K36" s="1103">
        <f>IF(B36=3,"[  ]",0)</f>
        <v>0</v>
      </c>
    </row>
    <row r="37" spans="1:20" ht="16" hidden="1" x14ac:dyDescent="0.2">
      <c r="A37" s="1788" t="s">
        <v>1209</v>
      </c>
      <c r="B37" s="1789"/>
      <c r="C37" s="1790"/>
      <c r="D37" s="1790"/>
      <c r="E37" s="1790"/>
      <c r="F37" s="1790"/>
      <c r="G37" s="1790"/>
      <c r="H37" s="1096" t="s">
        <v>762</v>
      </c>
      <c r="J37" s="1119" t="s">
        <v>269</v>
      </c>
      <c r="K37" s="1109"/>
    </row>
    <row r="38" spans="1:20" hidden="1" x14ac:dyDescent="0.2">
      <c r="A38" s="1099" t="s">
        <v>1125</v>
      </c>
      <c r="B38" s="1122">
        <f>IF(AND(D39=I128,OR(F39=I128,F40=I128)),0,I131)+IF(AND(F39=I128,OR(D39=I128,F40=I128)),0,I132+IF(AND(F40=I128,OR(F39=I128,D39=I128)),0,I133))</f>
        <v>0</v>
      </c>
      <c r="C38" s="1123" t="s">
        <v>270</v>
      </c>
      <c r="D38" s="1780" t="s">
        <v>271</v>
      </c>
      <c r="E38" s="1781"/>
      <c r="F38" s="1781"/>
      <c r="G38" s="1782"/>
      <c r="H38" s="1102"/>
      <c r="J38" s="1146" t="str">
        <f>IF(B38&gt;0,"Photo or cut sheet of system","none")</f>
        <v>none</v>
      </c>
      <c r="K38" s="1103">
        <f>IF(B38&gt;0,"[  ]",0)</f>
        <v>0</v>
      </c>
      <c r="T38" s="1104">
        <f>IF(K38="[  ]","[  ]",1)</f>
        <v>1</v>
      </c>
    </row>
    <row r="39" spans="1:20" ht="15" hidden="1" customHeight="1" x14ac:dyDescent="0.2">
      <c r="A39" s="1793"/>
      <c r="B39" s="1794"/>
      <c r="C39" s="1795"/>
      <c r="D39" s="1100"/>
      <c r="E39" s="1110" t="s">
        <v>272</v>
      </c>
      <c r="F39" s="1100"/>
      <c r="G39" s="1124" t="s">
        <v>273</v>
      </c>
      <c r="H39" s="1102"/>
      <c r="J39" s="1108"/>
      <c r="K39" s="1109"/>
    </row>
    <row r="40" spans="1:20" ht="13.5" hidden="1" customHeight="1" x14ac:dyDescent="0.2">
      <c r="A40" s="1796"/>
      <c r="B40" s="1797"/>
      <c r="C40" s="1797"/>
      <c r="D40" s="1786"/>
      <c r="E40" s="1787"/>
      <c r="F40" s="1100"/>
      <c r="G40" s="1125" t="s">
        <v>274</v>
      </c>
      <c r="H40" s="1102"/>
      <c r="I40" s="1126"/>
      <c r="J40" s="1108"/>
      <c r="K40" s="1109"/>
    </row>
    <row r="41" spans="1:20" hidden="1" x14ac:dyDescent="0.2">
      <c r="A41" s="1099" t="s">
        <v>1126</v>
      </c>
      <c r="B41" s="1100"/>
      <c r="C41" s="1101">
        <v>1</v>
      </c>
      <c r="D41" s="1783" t="s">
        <v>276</v>
      </c>
      <c r="E41" s="1784"/>
      <c r="F41" s="1784"/>
      <c r="G41" s="1785"/>
      <c r="H41" s="1102"/>
      <c r="J41" s="1149" t="str">
        <f>IF(B41=1,"Photo","none")</f>
        <v>none</v>
      </c>
      <c r="K41" s="1103">
        <f>IF(B41=1,"[  ]",0)</f>
        <v>0</v>
      </c>
      <c r="T41" s="1104">
        <f>IF(K41="[  ]","[  ]",1)</f>
        <v>1</v>
      </c>
    </row>
    <row r="42" spans="1:20" s="1129" customFormat="1" ht="10.5" customHeight="1" x14ac:dyDescent="0.2">
      <c r="A42" s="1798"/>
      <c r="B42" s="1762"/>
      <c r="C42" s="1762"/>
      <c r="D42" s="1762"/>
      <c r="E42" s="1762"/>
      <c r="F42" s="1762"/>
      <c r="G42" s="1762"/>
      <c r="H42" s="1799"/>
      <c r="I42" s="391"/>
      <c r="J42" s="1127"/>
      <c r="K42" s="1128"/>
    </row>
    <row r="43" spans="1:20" ht="16" x14ac:dyDescent="0.2">
      <c r="A43" s="1800" t="s">
        <v>1210</v>
      </c>
      <c r="B43" s="1801"/>
      <c r="C43" s="1801"/>
      <c r="D43" s="1801"/>
      <c r="E43" s="1801"/>
      <c r="F43" s="1801"/>
      <c r="G43" s="1801"/>
      <c r="H43" s="1096" t="s">
        <v>762</v>
      </c>
      <c r="J43" s="1097" t="s">
        <v>278</v>
      </c>
      <c r="K43" s="1109"/>
    </row>
    <row r="44" spans="1:20" x14ac:dyDescent="0.2">
      <c r="A44" s="1099" t="s">
        <v>1104</v>
      </c>
      <c r="B44" s="1100"/>
      <c r="C44" s="1123" t="s">
        <v>280</v>
      </c>
      <c r="D44" s="1746" t="s">
        <v>281</v>
      </c>
      <c r="E44" s="1747"/>
      <c r="F44" s="1747"/>
      <c r="G44" s="1748"/>
      <c r="H44" s="1102"/>
      <c r="J44" s="1146" t="str">
        <f>IF(OR(B44=1,B44=2,B44=3),"Photos and detailed plan","none")</f>
        <v>none</v>
      </c>
      <c r="K44" s="1103">
        <f>IF(OR(B44=1,B44=2,B44=3),"[  ]",0)</f>
        <v>0</v>
      </c>
      <c r="T44" s="1104">
        <f>IF(K44="[  ]","[  ]",1)</f>
        <v>1</v>
      </c>
    </row>
    <row r="45" spans="1:20" ht="10.5" customHeight="1" x14ac:dyDescent="0.2">
      <c r="A45" s="1791"/>
      <c r="B45" s="1770"/>
      <c r="C45" s="1770"/>
      <c r="D45" s="1770"/>
      <c r="E45" s="1770"/>
      <c r="F45" s="1770"/>
      <c r="G45" s="1770"/>
      <c r="H45" s="1792"/>
      <c r="J45" s="1108"/>
      <c r="K45" s="1109"/>
    </row>
    <row r="46" spans="1:20" ht="16" x14ac:dyDescent="0.2">
      <c r="A46" s="1788" t="s">
        <v>1211</v>
      </c>
      <c r="B46" s="1790"/>
      <c r="C46" s="1790"/>
      <c r="D46" s="1790"/>
      <c r="E46" s="1790"/>
      <c r="F46" s="1790"/>
      <c r="G46" s="1790"/>
      <c r="H46" s="1096" t="s">
        <v>762</v>
      </c>
      <c r="J46" s="1119" t="s">
        <v>282</v>
      </c>
      <c r="K46" s="1109"/>
    </row>
    <row r="47" spans="1:20" x14ac:dyDescent="0.2">
      <c r="A47" s="1099" t="s">
        <v>1096</v>
      </c>
      <c r="B47" s="1100">
        <v>2</v>
      </c>
      <c r="C47" s="1101" t="s">
        <v>922</v>
      </c>
      <c r="D47" s="1757" t="s">
        <v>283</v>
      </c>
      <c r="E47" s="1758"/>
      <c r="F47" s="1758"/>
      <c r="G47" s="1759"/>
      <c r="H47" s="1318" t="s">
        <v>1405</v>
      </c>
      <c r="J47" s="1147" t="str">
        <f>IF(B47=4,"Schematic or plan detail of system","none")</f>
        <v>none</v>
      </c>
      <c r="K47" s="1103">
        <f>IF(B47=4,"[  ]",0)</f>
        <v>0</v>
      </c>
      <c r="T47" s="1104">
        <f>IF(K47="[  ]","[  ]",1)</f>
        <v>1</v>
      </c>
    </row>
    <row r="48" spans="1:20" ht="16" hidden="1" x14ac:dyDescent="0.2">
      <c r="A48" s="1099" t="s">
        <v>1097</v>
      </c>
      <c r="B48" s="1268"/>
      <c r="C48" s="1267"/>
      <c r="D48" s="1697" t="s">
        <v>1306</v>
      </c>
      <c r="E48" s="1755"/>
      <c r="F48" s="1755"/>
      <c r="G48" s="1756"/>
      <c r="H48" s="1102"/>
      <c r="J48" s="1146" t="str">
        <f>IF(B48=1,"Spec of system installed","none")</f>
        <v>none</v>
      </c>
      <c r="K48" s="1130" t="s">
        <v>7</v>
      </c>
      <c r="T48" s="1104"/>
    </row>
    <row r="49" spans="1:20" x14ac:dyDescent="0.2">
      <c r="A49" s="1099" t="s">
        <v>1098</v>
      </c>
      <c r="B49" s="1100"/>
      <c r="C49" s="1101">
        <v>1</v>
      </c>
      <c r="D49" s="1746" t="s">
        <v>1269</v>
      </c>
      <c r="E49" s="1747"/>
      <c r="F49" s="1747"/>
      <c r="G49" s="1748"/>
      <c r="H49" s="1102"/>
      <c r="J49" s="1146" t="str">
        <f>IF(B49=1,"Photo and cut sheet of sealing product used","none")</f>
        <v>none</v>
      </c>
      <c r="K49" s="1103">
        <f>IF(B49=1,"[  ]",0)</f>
        <v>0</v>
      </c>
      <c r="T49" s="1104">
        <f t="shared" ref="T49:T54" si="1">IF(K49="[  ]","[  ]",1)</f>
        <v>1</v>
      </c>
    </row>
    <row r="50" spans="1:20" hidden="1" x14ac:dyDescent="0.2">
      <c r="A50" s="1099" t="s">
        <v>1099</v>
      </c>
      <c r="B50" s="1100"/>
      <c r="C50" s="1101">
        <v>1</v>
      </c>
      <c r="D50" s="1697" t="s">
        <v>1396</v>
      </c>
      <c r="E50" s="1755"/>
      <c r="F50" s="1755"/>
      <c r="G50" s="1756"/>
      <c r="H50" s="1102"/>
      <c r="J50" s="1146" t="str">
        <f>IF(B50=1,"Cut sheet of fan and control","none")</f>
        <v>none</v>
      </c>
      <c r="K50" s="1103">
        <f>IF(B50=1,"[  ]",0)</f>
        <v>0</v>
      </c>
      <c r="T50" s="1104">
        <f t="shared" si="1"/>
        <v>1</v>
      </c>
    </row>
    <row r="51" spans="1:20" x14ac:dyDescent="0.2">
      <c r="A51" s="1099" t="s">
        <v>1100</v>
      </c>
      <c r="B51" s="1100">
        <v>1</v>
      </c>
      <c r="C51" s="1101">
        <v>1</v>
      </c>
      <c r="D51" s="1749" t="s">
        <v>286</v>
      </c>
      <c r="E51" s="1750"/>
      <c r="F51" s="1750"/>
      <c r="G51" s="1751"/>
      <c r="H51" s="1318"/>
      <c r="J51" s="1146" t="str">
        <f>IF(B51=1,"Cut sheet of hood","none")</f>
        <v>Cut sheet of hood</v>
      </c>
      <c r="K51" s="1103" t="str">
        <f>IF(B51=1,"[  ]",0)</f>
        <v>[  ]</v>
      </c>
      <c r="T51" s="1104" t="str">
        <f t="shared" si="1"/>
        <v>[  ]</v>
      </c>
    </row>
    <row r="52" spans="1:20" x14ac:dyDescent="0.2">
      <c r="A52" s="1099" t="s">
        <v>1101</v>
      </c>
      <c r="B52" s="1100">
        <v>1</v>
      </c>
      <c r="C52" s="1101">
        <v>1</v>
      </c>
      <c r="D52" s="1749" t="s">
        <v>576</v>
      </c>
      <c r="E52" s="1750"/>
      <c r="F52" s="1750"/>
      <c r="G52" s="1751"/>
      <c r="H52" s="1318" t="s">
        <v>1405</v>
      </c>
      <c r="I52" s="392"/>
      <c r="J52" s="1146" t="str">
        <f>IF(B52=1,"Plan detail of strategy","none")</f>
        <v>Plan detail of strategy</v>
      </c>
      <c r="K52" s="1103" t="str">
        <f>IF(B52=1,"[  ]",0)</f>
        <v>[  ]</v>
      </c>
      <c r="T52" s="1104" t="str">
        <f t="shared" si="1"/>
        <v>[  ]</v>
      </c>
    </row>
    <row r="53" spans="1:20" ht="46" hidden="1" customHeight="1" x14ac:dyDescent="0.2">
      <c r="A53" s="1239" t="s">
        <v>1102</v>
      </c>
      <c r="B53" s="1238"/>
      <c r="C53" s="339" t="s">
        <v>1309</v>
      </c>
      <c r="D53" s="1760" t="s">
        <v>1307</v>
      </c>
      <c r="E53" s="1755"/>
      <c r="F53" s="1755"/>
      <c r="G53" s="1756"/>
      <c r="H53" s="1102"/>
      <c r="J53" s="1146" t="str">
        <f>IF(B53=3,"Cut sheet of system","none")</f>
        <v>none</v>
      </c>
      <c r="K53" s="1103">
        <f>IF(B53=3,"[  ]",0)</f>
        <v>0</v>
      </c>
      <c r="T53" s="1104">
        <f t="shared" si="1"/>
        <v>1</v>
      </c>
    </row>
    <row r="54" spans="1:20" x14ac:dyDescent="0.2">
      <c r="A54" s="1099" t="s">
        <v>1103</v>
      </c>
      <c r="B54" s="1100">
        <v>1</v>
      </c>
      <c r="C54" s="1101" t="s">
        <v>47</v>
      </c>
      <c r="D54" s="1749" t="s">
        <v>452</v>
      </c>
      <c r="E54" s="1750"/>
      <c r="F54" s="1750"/>
      <c r="G54" s="1751"/>
      <c r="H54" s="1318" t="s">
        <v>1405</v>
      </c>
      <c r="I54" s="392"/>
      <c r="J54" s="1146" t="str">
        <f>IF(OR(B54=1,B54=2),"Cut sheet of filter","none")</f>
        <v>Cut sheet of filter</v>
      </c>
      <c r="K54" s="1103" t="str">
        <f>IF(OR(B54=1,B54=2),"[  ]",0)</f>
        <v>[  ]</v>
      </c>
      <c r="T54" s="1104" t="str">
        <f t="shared" si="1"/>
        <v>[  ]</v>
      </c>
    </row>
    <row r="55" spans="1:20" x14ac:dyDescent="0.2">
      <c r="A55" s="1099" t="s">
        <v>1095</v>
      </c>
      <c r="B55" s="1100">
        <v>1</v>
      </c>
      <c r="C55" s="1101">
        <v>1</v>
      </c>
      <c r="D55" s="1749" t="s">
        <v>289</v>
      </c>
      <c r="E55" s="1750"/>
      <c r="F55" s="1750"/>
      <c r="G55" s="1751"/>
      <c r="H55" s="1102"/>
      <c r="J55" s="1146" t="s">
        <v>68</v>
      </c>
      <c r="K55" s="1120" t="s">
        <v>7</v>
      </c>
      <c r="T55" s="1104"/>
    </row>
    <row r="56" spans="1:20" x14ac:dyDescent="0.2">
      <c r="A56" s="1099" t="s">
        <v>698</v>
      </c>
      <c r="B56" s="1100"/>
      <c r="C56" s="1101">
        <v>1</v>
      </c>
      <c r="D56" s="1746" t="s">
        <v>453</v>
      </c>
      <c r="E56" s="1747"/>
      <c r="F56" s="1747"/>
      <c r="G56" s="1748"/>
      <c r="H56" s="1102"/>
      <c r="I56" s="392"/>
      <c r="J56" s="1146" t="s">
        <v>68</v>
      </c>
      <c r="K56" s="1120" t="s">
        <v>7</v>
      </c>
      <c r="T56" s="1104"/>
    </row>
    <row r="57" spans="1:20" x14ac:dyDescent="0.2">
      <c r="A57" s="1099" t="s">
        <v>699</v>
      </c>
      <c r="B57" s="1100">
        <v>1</v>
      </c>
      <c r="C57" s="1101">
        <v>1</v>
      </c>
      <c r="D57" s="1757" t="s">
        <v>293</v>
      </c>
      <c r="E57" s="1758"/>
      <c r="F57" s="1758"/>
      <c r="G57" s="1759"/>
      <c r="H57" s="1318" t="s">
        <v>1416</v>
      </c>
      <c r="J57" s="1147" t="str">
        <f>IF(B57=1,"Manual D calculatons and layout plan","none")</f>
        <v>Manual D calculatons and layout plan</v>
      </c>
      <c r="K57" s="1103" t="str">
        <f>IF(B57=1,"[  ]",0)</f>
        <v>[  ]</v>
      </c>
      <c r="T57" s="1104" t="str">
        <f>IF(K57="[  ]","[  ]",1)</f>
        <v>[  ]</v>
      </c>
    </row>
    <row r="58" spans="1:20" x14ac:dyDescent="0.2">
      <c r="A58" s="1099"/>
      <c r="B58" s="1106">
        <f>ROUNDDOWN(SUM(B5:B8,B16:B24,B27:B35,B38,B41:B41,B44:B44,B47:B57),0)</f>
        <v>22</v>
      </c>
      <c r="C58" s="1101">
        <v>55</v>
      </c>
      <c r="D58" s="1761" t="s">
        <v>1277</v>
      </c>
      <c r="E58" s="1762"/>
      <c r="F58" s="1762"/>
      <c r="G58" s="1763"/>
      <c r="H58" s="1743"/>
      <c r="L58" s="1108"/>
      <c r="M58" s="1108"/>
      <c r="N58" s="1108"/>
      <c r="O58" s="1108"/>
      <c r="P58" s="1108"/>
      <c r="Q58" s="1108"/>
      <c r="R58" s="1109"/>
      <c r="S58" s="1131"/>
    </row>
    <row r="59" spans="1:20" ht="10.5" customHeight="1" x14ac:dyDescent="0.2">
      <c r="A59" s="1772"/>
      <c r="B59" s="1770"/>
      <c r="C59" s="1770"/>
      <c r="D59" s="1770"/>
      <c r="E59" s="1770"/>
      <c r="F59" s="1770"/>
      <c r="G59" s="1771"/>
      <c r="H59" s="1744"/>
      <c r="L59" s="1108"/>
      <c r="M59" s="1108"/>
      <c r="N59" s="1108"/>
      <c r="O59" s="1108"/>
      <c r="P59" s="1108"/>
      <c r="Q59" s="1108"/>
      <c r="R59" s="1109"/>
      <c r="S59" s="1131"/>
    </row>
    <row r="60" spans="1:20" ht="19" x14ac:dyDescent="0.25">
      <c r="A60" s="1773"/>
      <c r="B60" s="1132">
        <f>IF(B58&gt;35,35,B58)</f>
        <v>22</v>
      </c>
      <c r="C60" s="1752" t="s">
        <v>294</v>
      </c>
      <c r="D60" s="1753"/>
      <c r="E60" s="1753"/>
      <c r="F60" s="1753"/>
      <c r="G60" s="1754"/>
      <c r="H60" s="1744"/>
      <c r="L60" s="1118"/>
      <c r="M60" s="1118"/>
      <c r="N60" s="1118"/>
      <c r="O60" s="1118"/>
      <c r="P60" s="1118"/>
      <c r="Q60" s="1118"/>
      <c r="R60" s="1109"/>
      <c r="S60" s="1131"/>
    </row>
    <row r="61" spans="1:20" ht="10.5" customHeight="1" x14ac:dyDescent="0.2">
      <c r="A61" s="1774"/>
      <c r="B61" s="1770"/>
      <c r="C61" s="1770"/>
      <c r="D61" s="1770"/>
      <c r="E61" s="1770"/>
      <c r="F61" s="1770"/>
      <c r="G61" s="1771"/>
      <c r="H61" s="1744"/>
      <c r="L61" s="1118"/>
      <c r="M61" s="1118"/>
      <c r="N61" s="1118"/>
      <c r="O61" s="1118"/>
      <c r="P61" s="1118"/>
      <c r="Q61" s="1118"/>
      <c r="R61" s="1109"/>
      <c r="S61" s="1131"/>
    </row>
    <row r="62" spans="1:20" ht="16" thickBot="1" x14ac:dyDescent="0.25">
      <c r="A62" s="1764" t="s">
        <v>295</v>
      </c>
      <c r="B62" s="1765"/>
      <c r="C62" s="1765"/>
      <c r="D62" s="1766"/>
      <c r="E62" s="1767"/>
      <c r="F62" s="1768"/>
      <c r="G62" s="1769"/>
      <c r="H62" s="1745"/>
      <c r="J62" s="1108"/>
      <c r="L62" s="1108"/>
      <c r="M62" s="1108"/>
      <c r="N62" s="1108"/>
      <c r="O62" s="1108"/>
      <c r="P62" s="1108"/>
      <c r="Q62" s="1108"/>
      <c r="R62" s="1109"/>
      <c r="S62" s="1131"/>
    </row>
    <row r="63" spans="1:20" x14ac:dyDescent="0.2">
      <c r="J63" s="1133"/>
      <c r="L63" s="1108"/>
      <c r="M63" s="1108"/>
      <c r="N63" s="1108"/>
      <c r="O63" s="1108"/>
      <c r="P63" s="1108"/>
      <c r="Q63" s="1108"/>
      <c r="R63" s="1109"/>
      <c r="S63" s="1131"/>
    </row>
    <row r="64" spans="1:20" ht="15" hidden="1" customHeight="1" x14ac:dyDescent="0.2">
      <c r="J64" s="1134"/>
      <c r="L64" s="1108"/>
      <c r="M64" s="1108"/>
      <c r="N64" s="1108"/>
      <c r="O64" s="1108"/>
      <c r="P64" s="1108"/>
      <c r="Q64" s="1108"/>
      <c r="R64" s="1109"/>
      <c r="S64" s="1131"/>
    </row>
    <row r="65" spans="2:19" ht="15" hidden="1" customHeight="1" x14ac:dyDescent="0.2">
      <c r="J65" s="1134"/>
      <c r="L65" s="1108"/>
      <c r="M65" s="1108"/>
      <c r="N65" s="1108"/>
      <c r="O65" s="1108"/>
      <c r="P65" s="1108"/>
      <c r="Q65" s="1108"/>
      <c r="R65" s="1109"/>
      <c r="S65" s="1131"/>
    </row>
    <row r="66" spans="2:19" ht="15" hidden="1" customHeight="1" x14ac:dyDescent="0.2">
      <c r="J66" s="1134"/>
      <c r="L66" s="1108"/>
      <c r="M66" s="1108"/>
      <c r="N66" s="1108"/>
      <c r="O66" s="1108"/>
      <c r="P66" s="1108"/>
      <c r="Q66" s="1108"/>
      <c r="R66" s="1118"/>
      <c r="S66" s="1131"/>
    </row>
    <row r="67" spans="2:19" ht="15" hidden="1" customHeight="1" x14ac:dyDescent="0.2">
      <c r="B67" s="1135"/>
      <c r="C67" s="1136"/>
      <c r="D67" s="1136"/>
      <c r="E67" s="1136"/>
      <c r="F67" s="1136"/>
      <c r="G67" s="1136"/>
      <c r="H67" s="1136"/>
      <c r="J67" s="1148"/>
      <c r="K67" s="1136"/>
      <c r="L67" s="1136"/>
      <c r="M67" s="1136"/>
      <c r="N67" s="1136"/>
      <c r="O67" s="1136"/>
      <c r="P67" s="1136"/>
      <c r="Q67" s="1136"/>
      <c r="R67" s="1136"/>
      <c r="S67" s="1137"/>
    </row>
    <row r="68" spans="2:19" ht="15" hidden="1" customHeight="1" x14ac:dyDescent="0.2">
      <c r="J68" s="1134"/>
      <c r="L68" s="1108"/>
      <c r="M68" s="1108"/>
      <c r="N68" s="1108"/>
      <c r="O68" s="1108"/>
      <c r="P68" s="1108"/>
      <c r="Q68" s="1108"/>
      <c r="R68" s="1109"/>
      <c r="S68" s="1131"/>
    </row>
    <row r="69" spans="2:19" ht="15.75" hidden="1" customHeight="1" x14ac:dyDescent="0.2">
      <c r="B69" s="1138" t="s">
        <v>435</v>
      </c>
      <c r="J69" s="1134"/>
      <c r="L69" s="1108"/>
      <c r="M69" s="1108"/>
      <c r="N69" s="1108"/>
      <c r="O69" s="1108"/>
      <c r="P69" s="1108"/>
      <c r="Q69" s="1108"/>
      <c r="R69" s="1109"/>
      <c r="S69" s="1131"/>
    </row>
    <row r="70" spans="2:19" ht="15.75" hidden="1" customHeight="1" x14ac:dyDescent="0.2">
      <c r="B70" s="1139"/>
      <c r="J70" s="1134"/>
      <c r="L70" s="1108"/>
      <c r="M70" s="1108"/>
      <c r="N70" s="1108"/>
      <c r="O70" s="1108"/>
      <c r="P70" s="1108"/>
      <c r="Q70" s="1108"/>
      <c r="R70" s="1118"/>
      <c r="S70" s="1131"/>
    </row>
    <row r="71" spans="2:19" ht="15.75" hidden="1" customHeight="1" x14ac:dyDescent="0.2">
      <c r="B71" s="1140"/>
      <c r="J71" s="1134"/>
    </row>
    <row r="72" spans="2:19" ht="15.75" hidden="1" customHeight="1" x14ac:dyDescent="0.2">
      <c r="B72" s="1140"/>
      <c r="J72" s="1134"/>
    </row>
    <row r="73" spans="2:19" ht="15.75" hidden="1" customHeight="1" x14ac:dyDescent="0.2">
      <c r="B73" s="1141"/>
      <c r="J73" s="1134"/>
    </row>
    <row r="74" spans="2:19" ht="15.75" hidden="1" customHeight="1" x14ac:dyDescent="0.2">
      <c r="B74" s="1142"/>
      <c r="J74" s="1134"/>
    </row>
    <row r="75" spans="2:19" ht="15.75" hidden="1" customHeight="1" x14ac:dyDescent="0.2">
      <c r="B75" s="1141"/>
      <c r="J75" s="1134"/>
    </row>
    <row r="76" spans="2:19" ht="15.75" hidden="1" customHeight="1" x14ac:dyDescent="0.2">
      <c r="B76" s="1141"/>
      <c r="J76" s="1134"/>
    </row>
    <row r="77" spans="2:19" ht="15.75" hidden="1" customHeight="1" x14ac:dyDescent="0.2">
      <c r="B77" s="1141"/>
      <c r="J77" s="1134"/>
    </row>
    <row r="78" spans="2:19" ht="15.75" hidden="1" customHeight="1" x14ac:dyDescent="0.2">
      <c r="B78" s="1141"/>
      <c r="J78" s="1134"/>
    </row>
    <row r="79" spans="2:19" ht="15.75" hidden="1" customHeight="1" x14ac:dyDescent="0.2">
      <c r="B79" s="1141"/>
      <c r="J79" s="1134"/>
    </row>
    <row r="80" spans="2:19" ht="15.75" hidden="1" customHeight="1" x14ac:dyDescent="0.2">
      <c r="B80" s="1141"/>
      <c r="J80" s="1134"/>
    </row>
    <row r="81" spans="2:10" ht="15.75" hidden="1" customHeight="1" x14ac:dyDescent="0.2">
      <c r="B81" s="1141"/>
      <c r="J81" s="1134"/>
    </row>
    <row r="82" spans="2:10" ht="15.75" hidden="1" customHeight="1" x14ac:dyDescent="0.2">
      <c r="B82" s="1141"/>
      <c r="J82" s="1134"/>
    </row>
    <row r="83" spans="2:10" ht="15.75" hidden="1" customHeight="1" x14ac:dyDescent="0.2">
      <c r="B83" s="1141"/>
      <c r="J83" s="1134"/>
    </row>
    <row r="84" spans="2:10" ht="15.75" hidden="1" customHeight="1" x14ac:dyDescent="0.2">
      <c r="B84" s="1141"/>
      <c r="J84" s="1134"/>
    </row>
    <row r="85" spans="2:10" ht="15.75" hidden="1" customHeight="1" x14ac:dyDescent="0.2">
      <c r="B85" s="1141"/>
      <c r="J85" s="1134"/>
    </row>
    <row r="86" spans="2:10" ht="15.75" hidden="1" customHeight="1" x14ac:dyDescent="0.2">
      <c r="B86" s="1140"/>
      <c r="J86" s="1134"/>
    </row>
    <row r="87" spans="2:10" ht="15.75" hidden="1" customHeight="1" x14ac:dyDescent="0.2">
      <c r="B87" s="1140"/>
      <c r="J87" s="1134"/>
    </row>
    <row r="88" spans="2:10" ht="16" x14ac:dyDescent="0.2">
      <c r="B88" s="1140"/>
      <c r="I88" s="510" t="s">
        <v>7</v>
      </c>
      <c r="J88" s="1134"/>
    </row>
    <row r="89" spans="2:10" ht="16" x14ac:dyDescent="0.2">
      <c r="B89" s="1141"/>
      <c r="I89" s="510" t="s">
        <v>495</v>
      </c>
    </row>
    <row r="90" spans="2:10" ht="16" x14ac:dyDescent="0.2">
      <c r="B90" s="1164">
        <f>2/9</f>
        <v>0.22222222222222221</v>
      </c>
      <c r="I90" s="510" t="s">
        <v>18</v>
      </c>
    </row>
    <row r="91" spans="2:10" ht="16" x14ac:dyDescent="0.2">
      <c r="B91" s="1141"/>
      <c r="I91" s="510" t="s">
        <v>19</v>
      </c>
    </row>
    <row r="92" spans="2:10" ht="16" x14ac:dyDescent="0.2">
      <c r="B92" s="1141"/>
    </row>
    <row r="93" spans="2:10" ht="16" x14ac:dyDescent="0.2">
      <c r="B93" s="1141"/>
      <c r="I93" s="779">
        <v>0</v>
      </c>
    </row>
    <row r="94" spans="2:10" ht="16" x14ac:dyDescent="0.2">
      <c r="B94" s="1141"/>
      <c r="I94" s="779" t="s">
        <v>7</v>
      </c>
    </row>
    <row r="95" spans="2:10" ht="16" x14ac:dyDescent="0.2">
      <c r="B95" s="1140"/>
      <c r="I95" s="510" t="s">
        <v>75</v>
      </c>
    </row>
    <row r="96" spans="2:10" ht="16" x14ac:dyDescent="0.2">
      <c r="B96" s="1140"/>
      <c r="I96" s="510" t="s">
        <v>495</v>
      </c>
    </row>
    <row r="97" spans="2:9" ht="16" x14ac:dyDescent="0.2">
      <c r="B97" s="1140"/>
      <c r="I97" s="510">
        <v>3</v>
      </c>
    </row>
    <row r="98" spans="2:9" ht="16" x14ac:dyDescent="0.2">
      <c r="B98" s="1141"/>
    </row>
    <row r="99" spans="2:9" ht="16" x14ac:dyDescent="0.2">
      <c r="B99" s="1141"/>
      <c r="I99" s="510">
        <v>-1</v>
      </c>
    </row>
    <row r="100" spans="2:9" ht="16" x14ac:dyDescent="0.2">
      <c r="B100" s="1141"/>
      <c r="I100" s="391" t="s">
        <v>7</v>
      </c>
    </row>
    <row r="101" spans="2:9" ht="16" x14ac:dyDescent="0.2">
      <c r="B101" s="1141"/>
      <c r="I101" s="510" t="s">
        <v>75</v>
      </c>
    </row>
    <row r="102" spans="2:9" ht="16" x14ac:dyDescent="0.2">
      <c r="B102" s="1141"/>
      <c r="I102" s="510" t="s">
        <v>495</v>
      </c>
    </row>
    <row r="103" spans="2:9" ht="16" x14ac:dyDescent="0.2">
      <c r="B103" s="1141"/>
      <c r="I103" s="510">
        <v>2</v>
      </c>
    </row>
    <row r="104" spans="2:9" ht="16" x14ac:dyDescent="0.2">
      <c r="B104" s="1141"/>
      <c r="I104" s="510" t="s">
        <v>7</v>
      </c>
    </row>
    <row r="105" spans="2:9" ht="16" x14ac:dyDescent="0.2">
      <c r="B105" s="1141"/>
      <c r="I105" s="510" t="s">
        <v>75</v>
      </c>
    </row>
    <row r="106" spans="2:9" ht="16" x14ac:dyDescent="0.2">
      <c r="B106" s="1141"/>
      <c r="I106" s="510" t="s">
        <v>495</v>
      </c>
    </row>
    <row r="107" spans="2:9" ht="16" x14ac:dyDescent="0.2">
      <c r="B107" s="1141"/>
      <c r="I107" s="510">
        <v>4</v>
      </c>
    </row>
    <row r="108" spans="2:9" ht="16" x14ac:dyDescent="0.2">
      <c r="B108" s="1139"/>
      <c r="I108" s="510" t="s">
        <v>7</v>
      </c>
    </row>
    <row r="109" spans="2:9" ht="16" x14ac:dyDescent="0.2">
      <c r="B109" s="1138"/>
      <c r="I109" s="510" t="s">
        <v>75</v>
      </c>
    </row>
    <row r="110" spans="2:9" ht="16" x14ac:dyDescent="0.2">
      <c r="B110" s="1138"/>
      <c r="I110" s="510" t="s">
        <v>495</v>
      </c>
    </row>
    <row r="111" spans="2:9" ht="16" x14ac:dyDescent="0.2">
      <c r="B111" s="1138"/>
      <c r="I111" s="510">
        <v>1</v>
      </c>
    </row>
    <row r="112" spans="2:9" x14ac:dyDescent="0.2">
      <c r="I112" s="510">
        <v>2</v>
      </c>
    </row>
    <row r="113" spans="9:9" x14ac:dyDescent="0.2">
      <c r="I113" s="510">
        <v>3</v>
      </c>
    </row>
    <row r="116" spans="9:9" x14ac:dyDescent="0.2">
      <c r="I116" s="1143" t="s">
        <v>7</v>
      </c>
    </row>
    <row r="117" spans="9:9" x14ac:dyDescent="0.2">
      <c r="I117" s="1143" t="s">
        <v>495</v>
      </c>
    </row>
    <row r="118" spans="9:9" x14ac:dyDescent="0.2">
      <c r="I118" s="1143" t="s">
        <v>18</v>
      </c>
    </row>
    <row r="119" spans="9:9" x14ac:dyDescent="0.2">
      <c r="I119" s="1143" t="s">
        <v>19</v>
      </c>
    </row>
    <row r="121" spans="9:9" x14ac:dyDescent="0.2">
      <c r="I121" s="510">
        <v>0</v>
      </c>
    </row>
    <row r="122" spans="9:9" x14ac:dyDescent="0.2">
      <c r="I122" s="510">
        <v>0</v>
      </c>
    </row>
    <row r="123" spans="9:9" x14ac:dyDescent="0.2">
      <c r="I123" s="510">
        <v>0</v>
      </c>
    </row>
    <row r="126" spans="9:9" x14ac:dyDescent="0.2">
      <c r="I126" s="1143" t="s">
        <v>7</v>
      </c>
    </row>
    <row r="127" spans="9:9" x14ac:dyDescent="0.2">
      <c r="I127" s="1143" t="s">
        <v>495</v>
      </c>
    </row>
    <row r="128" spans="9:9" x14ac:dyDescent="0.2">
      <c r="I128" s="1144" t="s">
        <v>18</v>
      </c>
    </row>
    <row r="129" spans="9:9" x14ac:dyDescent="0.2">
      <c r="I129" s="1144" t="s">
        <v>19</v>
      </c>
    </row>
    <row r="130" spans="9:9" x14ac:dyDescent="0.2">
      <c r="I130" s="525"/>
    </row>
    <row r="131" spans="9:9" x14ac:dyDescent="0.2">
      <c r="I131" s="510">
        <f>IF(D39=I128,1,0)</f>
        <v>0</v>
      </c>
    </row>
    <row r="132" spans="9:9" x14ac:dyDescent="0.2">
      <c r="I132" s="510">
        <f>IF(F39=I128,2,0)</f>
        <v>0</v>
      </c>
    </row>
    <row r="133" spans="9:9" x14ac:dyDescent="0.2">
      <c r="I133" s="510">
        <f>IF(F40=I128,2,0)</f>
        <v>0</v>
      </c>
    </row>
    <row r="135" spans="9:9" x14ac:dyDescent="0.2">
      <c r="I135" s="510" t="s">
        <v>7</v>
      </c>
    </row>
    <row r="136" spans="9:9" x14ac:dyDescent="0.2">
      <c r="I136" s="510" t="s">
        <v>75</v>
      </c>
    </row>
    <row r="137" spans="9:9" x14ac:dyDescent="0.2">
      <c r="I137" s="510" t="s">
        <v>495</v>
      </c>
    </row>
    <row r="138" spans="9:9" x14ac:dyDescent="0.2">
      <c r="I138" s="510">
        <v>2</v>
      </c>
    </row>
    <row r="139" spans="9:9" x14ac:dyDescent="0.2">
      <c r="I139" s="510">
        <v>4</v>
      </c>
    </row>
    <row r="142" spans="9:9" x14ac:dyDescent="0.2">
      <c r="I142" s="510"/>
    </row>
    <row r="143" spans="9:9" x14ac:dyDescent="0.2">
      <c r="I143" s="510" t="s">
        <v>1296</v>
      </c>
    </row>
    <row r="144" spans="9:9" x14ac:dyDescent="0.2">
      <c r="I144" s="510" t="s">
        <v>495</v>
      </c>
    </row>
    <row r="145" spans="9:9" x14ac:dyDescent="0.2">
      <c r="I145" s="510">
        <v>3</v>
      </c>
    </row>
    <row r="146" spans="9:9" x14ac:dyDescent="0.2">
      <c r="I146" s="510">
        <v>5</v>
      </c>
    </row>
  </sheetData>
  <sheetProtection algorithmName="SHA-512" hashValue="nMxNHltk9waZLOYfIGNJBYA4iBbJK4gxxTOA+6ElfqLCTgit9k7O4P5sKn3Q08NmI0iMtjp99cVEsktC9eZd7w==" saltValue="H1CW2ch2CAvR7CYf8E9I/g==" spinCount="100000" sheet="1" insertHyperlinks="0" selectLockedCells="1"/>
  <mergeCells count="63">
    <mergeCell ref="A1:H1"/>
    <mergeCell ref="A4:G4"/>
    <mergeCell ref="A15:G15"/>
    <mergeCell ref="A26:G26"/>
    <mergeCell ref="D18:G18"/>
    <mergeCell ref="D19:G19"/>
    <mergeCell ref="D20:G20"/>
    <mergeCell ref="D21:G21"/>
    <mergeCell ref="D22:G22"/>
    <mergeCell ref="D13:E13"/>
    <mergeCell ref="A9:C13"/>
    <mergeCell ref="A14:H14"/>
    <mergeCell ref="A25:H25"/>
    <mergeCell ref="D16:G16"/>
    <mergeCell ref="D17:G17"/>
    <mergeCell ref="D5:G5"/>
    <mergeCell ref="D6:G6"/>
    <mergeCell ref="D7:G7"/>
    <mergeCell ref="D8:G8"/>
    <mergeCell ref="D3:H3"/>
    <mergeCell ref="D27:G27"/>
    <mergeCell ref="D9:E9"/>
    <mergeCell ref="F9:G9"/>
    <mergeCell ref="D23:G23"/>
    <mergeCell ref="D24:G24"/>
    <mergeCell ref="A46:G46"/>
    <mergeCell ref="D28:G28"/>
    <mergeCell ref="D29:G29"/>
    <mergeCell ref="D31:G31"/>
    <mergeCell ref="D30:G30"/>
    <mergeCell ref="D35:G35"/>
    <mergeCell ref="B59:G59"/>
    <mergeCell ref="D32:G32"/>
    <mergeCell ref="D33:G33"/>
    <mergeCell ref="D34:G34"/>
    <mergeCell ref="D38:G38"/>
    <mergeCell ref="D41:G41"/>
    <mergeCell ref="D40:E40"/>
    <mergeCell ref="A37:G37"/>
    <mergeCell ref="A36:H36"/>
    <mergeCell ref="A39:C40"/>
    <mergeCell ref="A42:H42"/>
    <mergeCell ref="D44:G44"/>
    <mergeCell ref="A45:H45"/>
    <mergeCell ref="D47:G47"/>
    <mergeCell ref="D48:G48"/>
    <mergeCell ref="A43:G43"/>
    <mergeCell ref="H58:H62"/>
    <mergeCell ref="D49:G49"/>
    <mergeCell ref="D52:G52"/>
    <mergeCell ref="C60:G60"/>
    <mergeCell ref="D54:G54"/>
    <mergeCell ref="D55:G55"/>
    <mergeCell ref="D56:G56"/>
    <mergeCell ref="D50:G50"/>
    <mergeCell ref="D51:G51"/>
    <mergeCell ref="D57:G57"/>
    <mergeCell ref="D53:G53"/>
    <mergeCell ref="D58:G58"/>
    <mergeCell ref="A62:D62"/>
    <mergeCell ref="E62:G62"/>
    <mergeCell ref="B61:G61"/>
    <mergeCell ref="A59:A61"/>
  </mergeCells>
  <phoneticPr fontId="13" type="noConversion"/>
  <conditionalFormatting sqref="K5:K6">
    <cfRule type="cellIs" dxfId="96" priority="7" stopIfTrue="1" operator="equal">
      <formula>$T$6</formula>
    </cfRule>
  </conditionalFormatting>
  <conditionalFormatting sqref="K7">
    <cfRule type="cellIs" dxfId="95" priority="8" stopIfTrue="1" operator="equal">
      <formula>$T$7</formula>
    </cfRule>
  </conditionalFormatting>
  <conditionalFormatting sqref="K8">
    <cfRule type="cellIs" dxfId="94" priority="9" stopIfTrue="1" operator="equal">
      <formula>$T$8</formula>
    </cfRule>
  </conditionalFormatting>
  <conditionalFormatting sqref="K16">
    <cfRule type="cellIs" dxfId="93" priority="11" stopIfTrue="1" operator="equal">
      <formula>$T$16</formula>
    </cfRule>
  </conditionalFormatting>
  <conditionalFormatting sqref="K17">
    <cfRule type="cellIs" dxfId="92" priority="12" stopIfTrue="1" operator="equal">
      <formula>$T$17</formula>
    </cfRule>
  </conditionalFormatting>
  <conditionalFormatting sqref="K18">
    <cfRule type="cellIs" dxfId="91" priority="13" stopIfTrue="1" operator="equal">
      <formula>$T$18</formula>
    </cfRule>
  </conditionalFormatting>
  <conditionalFormatting sqref="K19">
    <cfRule type="cellIs" dxfId="90" priority="14" stopIfTrue="1" operator="equal">
      <formula>$T$19</formula>
    </cfRule>
  </conditionalFormatting>
  <conditionalFormatting sqref="K20">
    <cfRule type="cellIs" dxfId="89" priority="15" stopIfTrue="1" operator="equal">
      <formula>$T$20</formula>
    </cfRule>
  </conditionalFormatting>
  <conditionalFormatting sqref="K21">
    <cfRule type="cellIs" dxfId="88" priority="16" stopIfTrue="1" operator="equal">
      <formula>$T$21</formula>
    </cfRule>
  </conditionalFormatting>
  <conditionalFormatting sqref="K28">
    <cfRule type="cellIs" dxfId="87" priority="18" stopIfTrue="1" operator="equal">
      <formula>$T$28</formula>
    </cfRule>
  </conditionalFormatting>
  <conditionalFormatting sqref="K29">
    <cfRule type="cellIs" dxfId="86" priority="19" stopIfTrue="1" operator="equal">
      <formula>$T$29</formula>
    </cfRule>
  </conditionalFormatting>
  <conditionalFormatting sqref="K31">
    <cfRule type="cellIs" dxfId="85" priority="20" stopIfTrue="1" operator="equal">
      <formula>$T$31</formula>
    </cfRule>
  </conditionalFormatting>
  <conditionalFormatting sqref="K32">
    <cfRule type="cellIs" dxfId="84" priority="21" stopIfTrue="1" operator="equal">
      <formula>$T$32</formula>
    </cfRule>
  </conditionalFormatting>
  <conditionalFormatting sqref="K33:K34">
    <cfRule type="cellIs" dxfId="83" priority="22" stopIfTrue="1" operator="equal">
      <formula>$T$33</formula>
    </cfRule>
  </conditionalFormatting>
  <conditionalFormatting sqref="K35">
    <cfRule type="cellIs" dxfId="82" priority="23" stopIfTrue="1" operator="equal">
      <formula>$T$35</formula>
    </cfRule>
  </conditionalFormatting>
  <conditionalFormatting sqref="K38">
    <cfRule type="cellIs" dxfId="81" priority="24" stopIfTrue="1" operator="equal">
      <formula>$T$38</formula>
    </cfRule>
  </conditionalFormatting>
  <conditionalFormatting sqref="K41">
    <cfRule type="cellIs" dxfId="80" priority="26" stopIfTrue="1" operator="equal">
      <formula>$T$41</formula>
    </cfRule>
  </conditionalFormatting>
  <conditionalFormatting sqref="K44">
    <cfRule type="cellIs" dxfId="79" priority="29" stopIfTrue="1" operator="equal">
      <formula>$T$44</formula>
    </cfRule>
  </conditionalFormatting>
  <conditionalFormatting sqref="K47">
    <cfRule type="cellIs" dxfId="78" priority="30" stopIfTrue="1" operator="equal">
      <formula>$T$47</formula>
    </cfRule>
  </conditionalFormatting>
  <conditionalFormatting sqref="K49">
    <cfRule type="cellIs" dxfId="77" priority="31" stopIfTrue="1" operator="equal">
      <formula>$T$49</formula>
    </cfRule>
  </conditionalFormatting>
  <conditionalFormatting sqref="K50">
    <cfRule type="cellIs" dxfId="76" priority="32" stopIfTrue="1" operator="equal">
      <formula>$T$50</formula>
    </cfRule>
  </conditionalFormatting>
  <conditionalFormatting sqref="K51">
    <cfRule type="cellIs" dxfId="75" priority="33" stopIfTrue="1" operator="equal">
      <formula>$T$51</formula>
    </cfRule>
  </conditionalFormatting>
  <conditionalFormatting sqref="K52">
    <cfRule type="cellIs" dxfId="74" priority="34" stopIfTrue="1" operator="equal">
      <formula>$T$52</formula>
    </cfRule>
  </conditionalFormatting>
  <conditionalFormatting sqref="K53">
    <cfRule type="cellIs" dxfId="73" priority="35" stopIfTrue="1" operator="equal">
      <formula>$T$53</formula>
    </cfRule>
  </conditionalFormatting>
  <conditionalFormatting sqref="K54">
    <cfRule type="cellIs" dxfId="72" priority="36" stopIfTrue="1" operator="equal">
      <formula>$T$54</formula>
    </cfRule>
  </conditionalFormatting>
  <conditionalFormatting sqref="K57">
    <cfRule type="cellIs" dxfId="71" priority="38" stopIfTrue="1" operator="equal">
      <formula>$T$57</formula>
    </cfRule>
  </conditionalFormatting>
  <conditionalFormatting sqref="K22">
    <cfRule type="cellIs" dxfId="70" priority="4" stopIfTrue="1" operator="equal">
      <formula>$T$21</formula>
    </cfRule>
  </conditionalFormatting>
  <conditionalFormatting sqref="K23">
    <cfRule type="cellIs" dxfId="69" priority="3" stopIfTrue="1" operator="equal">
      <formula>$T$21</formula>
    </cfRule>
  </conditionalFormatting>
  <conditionalFormatting sqref="K24">
    <cfRule type="cellIs" dxfId="68" priority="2" stopIfTrue="1" operator="equal">
      <formula>$T$21</formula>
    </cfRule>
  </conditionalFormatting>
  <conditionalFormatting sqref="K36">
    <cfRule type="cellIs" dxfId="67" priority="1" stopIfTrue="1" operator="equal">
      <formula>$T$35</formula>
    </cfRule>
  </conditionalFormatting>
  <dataValidations count="9">
    <dataValidation type="list" allowBlank="1" showInputMessage="1" showErrorMessage="1" sqref="F39:F40 D39" xr:uid="{00000000-0002-0000-0C00-000000000000}">
      <formula1>$I$126:$I$130</formula1>
    </dataValidation>
    <dataValidation type="list" allowBlank="1" showInputMessage="1" showErrorMessage="1" sqref="B47" xr:uid="{00000000-0002-0000-0C00-000001000000}">
      <formula1>$I$135:$I$139</formula1>
    </dataValidation>
    <dataValidation type="list" allowBlank="1" showInputMessage="1" showErrorMessage="1" sqref="B44" xr:uid="{00000000-0002-0000-0C00-000002000000}">
      <formula1>$I$109:$I$113</formula1>
    </dataValidation>
    <dataValidation type="list" allowBlank="1" showInputMessage="1" showErrorMessage="1" sqref="D10:D12 F10:F13" xr:uid="{00000000-0002-0000-0C00-000003000000}">
      <formula1>$I$88:$I$91</formula1>
    </dataValidation>
    <dataValidation type="list" allowBlank="1" showInputMessage="1" showErrorMessage="1" sqref="B54 B31" xr:uid="{00000000-0002-0000-0C00-000004000000}">
      <formula1>$I$109:$I$112</formula1>
    </dataValidation>
    <dataValidation type="list" allowBlank="1" showInputMessage="1" showErrorMessage="1" sqref="B6:B7 B22:B24 B16:B20 B27 B55:B57 B41 B32:B34 B29:B30 B49:B52" xr:uid="{00000000-0002-0000-0C00-000005000000}">
      <formula1>$I$108:$I$111</formula1>
    </dataValidation>
    <dataValidation type="list" allowBlank="1" showInputMessage="1" showErrorMessage="1" sqref="B5 B21 B35" xr:uid="{00000000-0002-0000-0C00-000006000000}">
      <formula1>$I$94:$I$97</formula1>
    </dataValidation>
    <dataValidation type="list" allowBlank="1" showInputMessage="1" showErrorMessage="1" sqref="B28" xr:uid="{00000000-0002-0000-0C00-000007000000}">
      <formula1>$I$100:$I$103</formula1>
    </dataValidation>
    <dataValidation type="list" allowBlank="1" showInputMessage="1" showErrorMessage="1" sqref="B53" xr:uid="{B721F3A8-4377-A446-8961-6C533E85F85D}">
      <formula1>$I$142:$I$146</formula1>
    </dataValidation>
  </dataValidations>
  <pageMargins left="0.2" right="0.2" top="0.25" bottom="1" header="0.3" footer="0.3"/>
  <pageSetup scale="95" orientation="landscape" cellComments="asDisplayed" r:id="rId1"/>
  <headerFooter>
    <oddFooter>&amp;C&amp;G&amp;R&amp;P of &amp;N</oddFooter>
  </headerFooter>
  <rowBreaks count="2" manualBreakCount="2">
    <brk id="62" max="16383" man="1"/>
    <brk id="66" max="16383" man="1"/>
  </rowBreaks>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M95"/>
  <sheetViews>
    <sheetView zoomScale="170" zoomScaleNormal="170" zoomScaleSheetLayoutView="120" zoomScalePageLayoutView="120" workbookViewId="0">
      <selection activeCell="H51" sqref="H51"/>
    </sheetView>
  </sheetViews>
  <sheetFormatPr baseColWidth="10" defaultColWidth="8.6640625" defaultRowHeight="15" x14ac:dyDescent="0.2"/>
  <cols>
    <col min="1" max="1" width="6.1640625" style="94" customWidth="1"/>
    <col min="2" max="2" width="11.6640625" style="94" customWidth="1"/>
    <col min="3" max="4" width="7.6640625" style="94" customWidth="1"/>
    <col min="5" max="5" width="29.5" style="94" customWidth="1"/>
    <col min="6" max="6" width="7.6640625" style="94" customWidth="1"/>
    <col min="7" max="7" width="48" style="94" customWidth="1"/>
    <col min="8" max="8" width="35.6640625" style="94" customWidth="1"/>
    <col min="9" max="9" width="4.6640625" style="94" customWidth="1"/>
    <col min="10" max="10" width="75.1640625" style="199" customWidth="1"/>
    <col min="11" max="12" width="9.1640625" style="94" customWidth="1"/>
    <col min="13" max="13" width="8.6640625" style="323"/>
    <col min="14" max="16384" width="8.6640625" style="94"/>
  </cols>
  <sheetData>
    <row r="1" spans="1:13" ht="19" x14ac:dyDescent="0.25">
      <c r="A1" s="1535" t="s">
        <v>796</v>
      </c>
      <c r="B1" s="1536"/>
      <c r="C1" s="1536"/>
      <c r="D1" s="1536"/>
      <c r="E1" s="1536"/>
      <c r="F1" s="1536"/>
      <c r="G1" s="1536"/>
      <c r="H1" s="1537"/>
      <c r="I1" s="141"/>
      <c r="J1" s="881"/>
    </row>
    <row r="2" spans="1:13" ht="16" x14ac:dyDescent="0.2">
      <c r="A2" s="656" t="s">
        <v>341</v>
      </c>
      <c r="B2" s="657"/>
      <c r="C2" s="657"/>
      <c r="D2" s="657"/>
      <c r="E2" s="657"/>
      <c r="F2" s="657"/>
      <c r="G2" s="657"/>
      <c r="H2" s="689" t="str">
        <f>'1. Instructions'!B5</f>
        <v>Revised 4-5-2022</v>
      </c>
    </row>
    <row r="3" spans="1:13" ht="27" x14ac:dyDescent="0.2">
      <c r="A3" s="747"/>
      <c r="B3" s="325" t="s">
        <v>765</v>
      </c>
      <c r="C3" s="325" t="s">
        <v>766</v>
      </c>
      <c r="D3" s="1824" t="s">
        <v>31</v>
      </c>
      <c r="E3" s="1824"/>
      <c r="F3" s="1824"/>
      <c r="G3" s="1824"/>
      <c r="H3" s="746"/>
      <c r="J3" s="520" t="s">
        <v>69</v>
      </c>
    </row>
    <row r="4" spans="1:13" ht="16" x14ac:dyDescent="0.2">
      <c r="A4" s="1707" t="s">
        <v>1212</v>
      </c>
      <c r="B4" s="1708"/>
      <c r="C4" s="1708"/>
      <c r="D4" s="1708"/>
      <c r="E4" s="1708"/>
      <c r="F4" s="1708"/>
      <c r="G4" s="1708"/>
      <c r="H4" s="326" t="s">
        <v>762</v>
      </c>
      <c r="J4" s="801" t="s">
        <v>296</v>
      </c>
      <c r="K4" s="333" t="s">
        <v>23</v>
      </c>
      <c r="M4" s="537"/>
    </row>
    <row r="5" spans="1:13" hidden="1" x14ac:dyDescent="0.2">
      <c r="A5" s="516" t="s">
        <v>1152</v>
      </c>
      <c r="B5" s="288"/>
      <c r="C5" s="341">
        <v>1</v>
      </c>
      <c r="D5" s="1665" t="s">
        <v>297</v>
      </c>
      <c r="E5" s="1665"/>
      <c r="F5" s="1665"/>
      <c r="G5" s="1665"/>
      <c r="H5" s="748"/>
      <c r="J5" s="877" t="str">
        <f>IF(B5=1,"Material cut sheet","none")</f>
        <v>none</v>
      </c>
      <c r="K5" s="493">
        <f>IF(B5=1,"[  ]",0)</f>
        <v>0</v>
      </c>
      <c r="M5" s="336">
        <f>IF(K5="[  ]","[  ]",1)</f>
        <v>1</v>
      </c>
    </row>
    <row r="6" spans="1:13" hidden="1" x14ac:dyDescent="0.2">
      <c r="A6" s="516" t="s">
        <v>1153</v>
      </c>
      <c r="B6" s="275">
        <f>IF(D7=I75,3,0)+IF(D8=I75,2,0)+IF(AND(D7=I75,D8=I75),-5,0)</f>
        <v>0</v>
      </c>
      <c r="C6" s="346" t="s">
        <v>72</v>
      </c>
      <c r="D6" s="1665" t="s">
        <v>301</v>
      </c>
      <c r="E6" s="1665"/>
      <c r="F6" s="1665"/>
      <c r="G6" s="1665"/>
      <c r="H6" s="748"/>
      <c r="J6" s="877" t="str">
        <f>IF(B6&gt;0,"Documentation of forest certification","none")</f>
        <v>none</v>
      </c>
      <c r="K6" s="491">
        <f>IF(B6&gt;0,"[  ]",0)</f>
        <v>0</v>
      </c>
      <c r="M6" s="336">
        <f>IF(K6="[  ]","[  ]",1)</f>
        <v>1</v>
      </c>
    </row>
    <row r="7" spans="1:13" hidden="1" x14ac:dyDescent="0.2">
      <c r="A7" s="1846" t="s">
        <v>365</v>
      </c>
      <c r="B7" s="1847"/>
      <c r="C7" s="1848"/>
      <c r="D7" s="288"/>
      <c r="E7" s="1852" t="s">
        <v>792</v>
      </c>
      <c r="F7" s="1852"/>
      <c r="G7" s="1852"/>
      <c r="H7" s="748"/>
      <c r="I7" s="538"/>
      <c r="J7" s="765"/>
      <c r="K7" s="421"/>
    </row>
    <row r="8" spans="1:13" hidden="1" x14ac:dyDescent="0.2">
      <c r="A8" s="1849"/>
      <c r="B8" s="1850"/>
      <c r="C8" s="1851"/>
      <c r="D8" s="288"/>
      <c r="E8" s="1852" t="s">
        <v>925</v>
      </c>
      <c r="F8" s="1852"/>
      <c r="G8" s="1852"/>
      <c r="H8" s="748"/>
      <c r="I8" s="538"/>
      <c r="J8" s="765"/>
      <c r="K8" s="421"/>
    </row>
    <row r="9" spans="1:13" hidden="1" x14ac:dyDescent="0.2">
      <c r="A9" s="516" t="s">
        <v>1145</v>
      </c>
      <c r="B9" s="288"/>
      <c r="C9" s="341">
        <v>1</v>
      </c>
      <c r="D9" s="1666" t="s">
        <v>302</v>
      </c>
      <c r="E9" s="1665"/>
      <c r="F9" s="1665"/>
      <c r="G9" s="1665"/>
      <c r="H9" s="748" t="s">
        <v>1196</v>
      </c>
      <c r="J9" s="877" t="str">
        <f>IF(B9=1,"Photo or material cut sheet","none")</f>
        <v>none</v>
      </c>
      <c r="K9" s="491">
        <f t="shared" ref="K9:K17" si="0">IF(B9=1,"[  ]",0)</f>
        <v>0</v>
      </c>
      <c r="M9" s="336">
        <f t="shared" ref="M9:M18" si="1">IF(K9="[  ]","[  ]",1)</f>
        <v>1</v>
      </c>
    </row>
    <row r="10" spans="1:13" hidden="1" x14ac:dyDescent="0.2">
      <c r="A10" s="516" t="s">
        <v>1146</v>
      </c>
      <c r="B10" s="288"/>
      <c r="C10" s="341">
        <v>1</v>
      </c>
      <c r="D10" s="1854" t="s">
        <v>303</v>
      </c>
      <c r="E10" s="1854"/>
      <c r="F10" s="1854"/>
      <c r="G10" s="1854"/>
      <c r="H10" s="748"/>
      <c r="J10" s="878" t="str">
        <f>IF(B10=1,"Material cut sheet","none")</f>
        <v>none</v>
      </c>
      <c r="K10" s="536">
        <f t="shared" si="0"/>
        <v>0</v>
      </c>
      <c r="M10" s="336">
        <f t="shared" si="1"/>
        <v>1</v>
      </c>
    </row>
    <row r="11" spans="1:13" hidden="1" x14ac:dyDescent="0.2">
      <c r="A11" s="516" t="s">
        <v>1147</v>
      </c>
      <c r="B11" s="288"/>
      <c r="C11" s="341">
        <v>1</v>
      </c>
      <c r="D11" s="1835" t="s">
        <v>304</v>
      </c>
      <c r="E11" s="1835"/>
      <c r="F11" s="1835"/>
      <c r="G11" s="1835"/>
      <c r="H11" s="748"/>
      <c r="J11" s="879" t="str">
        <f>IF(B11=1,"Material cut sheet","none")</f>
        <v>none</v>
      </c>
      <c r="K11" s="491">
        <f t="shared" si="0"/>
        <v>0</v>
      </c>
      <c r="M11" s="336">
        <f t="shared" si="1"/>
        <v>1</v>
      </c>
    </row>
    <row r="12" spans="1:13" hidden="1" x14ac:dyDescent="0.2">
      <c r="A12" s="516" t="s">
        <v>1148</v>
      </c>
      <c r="B12" s="288"/>
      <c r="C12" s="341">
        <v>1</v>
      </c>
      <c r="D12" s="1665" t="s">
        <v>305</v>
      </c>
      <c r="E12" s="1665"/>
      <c r="F12" s="1665"/>
      <c r="G12" s="1665"/>
      <c r="H12" s="749"/>
      <c r="J12" s="877" t="str">
        <f>IF(B12=1,"Listing of types of insulation used","none")</f>
        <v>none</v>
      </c>
      <c r="K12" s="491">
        <f t="shared" si="0"/>
        <v>0</v>
      </c>
      <c r="M12" s="336">
        <f t="shared" si="1"/>
        <v>1</v>
      </c>
    </row>
    <row r="13" spans="1:13" x14ac:dyDescent="0.2">
      <c r="A13" s="516" t="s">
        <v>1149</v>
      </c>
      <c r="B13" s="288"/>
      <c r="C13" s="341">
        <v>1</v>
      </c>
      <c r="D13" s="1826" t="s">
        <v>306</v>
      </c>
      <c r="E13" s="1826"/>
      <c r="F13" s="1826"/>
      <c r="G13" s="1826"/>
      <c r="H13" s="1329" t="s">
        <v>1417</v>
      </c>
      <c r="J13" s="877" t="str">
        <f>IF(B13=1,"Material cut sheer and vendor","none")</f>
        <v>none</v>
      </c>
      <c r="K13" s="491">
        <f t="shared" si="0"/>
        <v>0</v>
      </c>
      <c r="M13" s="336">
        <f t="shared" si="1"/>
        <v>1</v>
      </c>
    </row>
    <row r="14" spans="1:13" hidden="1" x14ac:dyDescent="0.2">
      <c r="A14" s="516" t="s">
        <v>1150</v>
      </c>
      <c r="B14" s="288"/>
      <c r="C14" s="341">
        <v>1</v>
      </c>
      <c r="D14" s="1665" t="s">
        <v>307</v>
      </c>
      <c r="E14" s="1665"/>
      <c r="F14" s="1665"/>
      <c r="G14" s="1665"/>
      <c r="H14" s="1330"/>
      <c r="J14" s="877" t="str">
        <f>IF(B14=1,"Material cut sheet","none")</f>
        <v>none</v>
      </c>
      <c r="K14" s="491">
        <f>IF(B14=1,"[  ]",0)</f>
        <v>0</v>
      </c>
      <c r="M14" s="336">
        <f t="shared" si="1"/>
        <v>1</v>
      </c>
    </row>
    <row r="15" spans="1:13" x14ac:dyDescent="0.2">
      <c r="A15" s="516" t="s">
        <v>1151</v>
      </c>
      <c r="B15" s="288"/>
      <c r="C15" s="341">
        <v>1</v>
      </c>
      <c r="D15" s="1825" t="s">
        <v>311</v>
      </c>
      <c r="E15" s="1826"/>
      <c r="F15" s="1826"/>
      <c r="G15" s="1826"/>
      <c r="H15" s="1329" t="s">
        <v>1417</v>
      </c>
      <c r="J15" s="877" t="str">
        <f>IF(B15=1,"Photo","none")</f>
        <v>none</v>
      </c>
      <c r="K15" s="491">
        <f>IF(B15=1,"[  ]",0)</f>
        <v>0</v>
      </c>
      <c r="M15" s="336">
        <f t="shared" si="1"/>
        <v>1</v>
      </c>
    </row>
    <row r="16" spans="1:13" hidden="1" x14ac:dyDescent="0.2">
      <c r="A16" s="516" t="s">
        <v>709</v>
      </c>
      <c r="B16" s="288"/>
      <c r="C16" s="341">
        <v>1</v>
      </c>
      <c r="D16" s="1666" t="s">
        <v>312</v>
      </c>
      <c r="E16" s="1665"/>
      <c r="F16" s="1665"/>
      <c r="G16" s="1665"/>
      <c r="H16" s="1330"/>
      <c r="J16" s="877" t="str">
        <f>IF(B16=1,"Listing of types of flooring and accessories used and installation methods","none")</f>
        <v>none</v>
      </c>
      <c r="K16" s="491">
        <f t="shared" si="0"/>
        <v>0</v>
      </c>
      <c r="M16" s="336">
        <f t="shared" si="1"/>
        <v>1</v>
      </c>
    </row>
    <row r="17" spans="1:13" hidden="1" x14ac:dyDescent="0.2">
      <c r="A17" s="516" t="s">
        <v>710</v>
      </c>
      <c r="B17" s="288"/>
      <c r="C17" s="341">
        <v>1</v>
      </c>
      <c r="D17" s="1665" t="s">
        <v>313</v>
      </c>
      <c r="E17" s="1665"/>
      <c r="F17" s="1665"/>
      <c r="G17" s="1665"/>
      <c r="H17" s="1318"/>
      <c r="J17" s="877" t="str">
        <f>IF(B17=1,"Listing of all ceiling materials used","none")</f>
        <v>none</v>
      </c>
      <c r="K17" s="493">
        <f t="shared" si="0"/>
        <v>0</v>
      </c>
      <c r="M17" s="336">
        <f t="shared" si="1"/>
        <v>1</v>
      </c>
    </row>
    <row r="18" spans="1:13" ht="15" customHeight="1" x14ac:dyDescent="0.2">
      <c r="A18" s="516" t="s">
        <v>711</v>
      </c>
      <c r="B18" s="275">
        <f>IF(D19=I75,1,0)+IF(D20=I75,1,0)+IF(D21=I75,1,0)</f>
        <v>1</v>
      </c>
      <c r="C18" s="539" t="s">
        <v>93</v>
      </c>
      <c r="D18" s="1826" t="s">
        <v>314</v>
      </c>
      <c r="E18" s="1826"/>
      <c r="F18" s="1826"/>
      <c r="G18" s="1826"/>
      <c r="H18" s="1329" t="s">
        <v>1417</v>
      </c>
      <c r="J18" s="540" t="str">
        <f>IF(B18&gt;0,"Name of manufacturer and/or source of reused doors/windows or other materials","none")</f>
        <v>Name of manufacturer and/or source of reused doors/windows or other materials</v>
      </c>
      <c r="K18" s="491" t="str">
        <f>IF(B18&gt;0,"[  ]",0)</f>
        <v>[  ]</v>
      </c>
      <c r="M18" s="336" t="str">
        <f t="shared" si="1"/>
        <v>[  ]</v>
      </c>
    </row>
    <row r="19" spans="1:13" x14ac:dyDescent="0.2">
      <c r="A19" s="1838"/>
      <c r="B19" s="1830"/>
      <c r="C19" s="1830"/>
      <c r="D19" s="744"/>
      <c r="E19" s="1853" t="s">
        <v>793</v>
      </c>
      <c r="F19" s="1853"/>
      <c r="G19" s="1853"/>
      <c r="H19" s="748" t="s">
        <v>1432</v>
      </c>
      <c r="I19" s="541"/>
      <c r="J19" s="807"/>
      <c r="K19" s="421"/>
    </row>
    <row r="20" spans="1:13" hidden="1" x14ac:dyDescent="0.2">
      <c r="A20" s="1838"/>
      <c r="B20" s="1830"/>
      <c r="C20" s="1830"/>
      <c r="D20" s="744"/>
      <c r="E20" s="1852" t="s">
        <v>437</v>
      </c>
      <c r="F20" s="1852"/>
      <c r="G20" s="1852"/>
      <c r="H20" s="748"/>
      <c r="I20" s="541"/>
      <c r="J20" s="807"/>
      <c r="K20" s="421"/>
    </row>
    <row r="21" spans="1:13" x14ac:dyDescent="0.2">
      <c r="A21" s="1838"/>
      <c r="B21" s="1830"/>
      <c r="C21" s="1830"/>
      <c r="D21" s="744" t="s">
        <v>18</v>
      </c>
      <c r="E21" s="1827" t="s">
        <v>794</v>
      </c>
      <c r="F21" s="1827"/>
      <c r="G21" s="1827"/>
      <c r="H21" s="748" t="s">
        <v>1418</v>
      </c>
      <c r="I21" s="542"/>
      <c r="J21" s="807"/>
      <c r="K21" s="421"/>
    </row>
    <row r="22" spans="1:13" hidden="1" x14ac:dyDescent="0.2">
      <c r="A22" s="338" t="s">
        <v>1310</v>
      </c>
      <c r="B22" s="288"/>
      <c r="C22" s="341">
        <v>2</v>
      </c>
      <c r="D22" s="1665" t="s">
        <v>1311</v>
      </c>
      <c r="E22" s="1665"/>
      <c r="F22" s="1665"/>
      <c r="G22" s="1665"/>
      <c r="H22" s="1224"/>
      <c r="I22" s="542"/>
      <c r="J22" s="540" t="str">
        <f>IF(B22&gt;0,"Provide photos of installed roofing and submittal showing compliance.  CREDIT MAY NOT BE CLAIMED IF USING ALTERNATIVE ENERGY PATH E1.01b","none")</f>
        <v>none</v>
      </c>
      <c r="K22" s="806"/>
    </row>
    <row r="23" spans="1:13" ht="10.5" customHeight="1" x14ac:dyDescent="0.2">
      <c r="A23" s="1838"/>
      <c r="B23" s="1830"/>
      <c r="C23" s="1830"/>
      <c r="D23" s="1830"/>
      <c r="E23" s="1830"/>
      <c r="F23" s="1830"/>
      <c r="G23" s="1830"/>
      <c r="H23" s="331"/>
      <c r="I23" s="542"/>
      <c r="J23" s="807"/>
      <c r="K23" s="421"/>
    </row>
    <row r="24" spans="1:13" ht="16" x14ac:dyDescent="0.2">
      <c r="A24" s="1707" t="s">
        <v>1213</v>
      </c>
      <c r="B24" s="1708"/>
      <c r="C24" s="1708"/>
      <c r="D24" s="1708"/>
      <c r="E24" s="1708"/>
      <c r="F24" s="1708"/>
      <c r="G24" s="1708"/>
      <c r="H24" s="326" t="s">
        <v>762</v>
      </c>
      <c r="J24" s="882" t="s">
        <v>315</v>
      </c>
      <c r="K24" s="421"/>
    </row>
    <row r="25" spans="1:13" hidden="1" x14ac:dyDescent="0.2">
      <c r="A25" s="516" t="s">
        <v>1142</v>
      </c>
      <c r="B25" s="288"/>
      <c r="C25" s="341">
        <v>3</v>
      </c>
      <c r="D25" s="1730" t="s">
        <v>768</v>
      </c>
      <c r="E25" s="1836"/>
      <c r="F25" s="1836"/>
      <c r="G25" s="1837"/>
      <c r="H25" s="748"/>
      <c r="J25" s="877" t="str">
        <f>IF(B25=3,"Photo, detailed plans, or material cut sheet","none")</f>
        <v>none</v>
      </c>
      <c r="K25" s="491">
        <f>IF(B25=3,"[  ]",0)</f>
        <v>0</v>
      </c>
      <c r="M25" s="336">
        <f>IF(K25="[  ]","[  ]",1)</f>
        <v>1</v>
      </c>
    </row>
    <row r="26" spans="1:13" x14ac:dyDescent="0.2">
      <c r="A26" s="516" t="s">
        <v>1143</v>
      </c>
      <c r="B26" s="288"/>
      <c r="C26" s="1038">
        <v>2</v>
      </c>
      <c r="D26" s="1842" t="s">
        <v>454</v>
      </c>
      <c r="E26" s="1843"/>
      <c r="F26" s="1843"/>
      <c r="G26" s="1844"/>
      <c r="H26" s="748"/>
      <c r="I26" s="159"/>
      <c r="J26" s="878" t="str">
        <f>IF(B26=2,"Detailed waste manamgemnt plan","none")</f>
        <v>none</v>
      </c>
      <c r="K26" s="499">
        <f>IF(B26=2,"[  ]",0)</f>
        <v>0</v>
      </c>
      <c r="M26" s="336">
        <f>IF(K26="[  ]","[  ]",1)</f>
        <v>1</v>
      </c>
    </row>
    <row r="27" spans="1:13" x14ac:dyDescent="0.2">
      <c r="A27" s="516" t="s">
        <v>1144</v>
      </c>
      <c r="B27" s="275">
        <f>IF(D28=I81,2,0)+IF(OR(D28=I82,D28=I83,D28=I84),3,0)+IF(OR(D28=I85),4,0)</f>
        <v>0</v>
      </c>
      <c r="C27" s="1050" t="s">
        <v>317</v>
      </c>
      <c r="D27" s="1825" t="s">
        <v>318</v>
      </c>
      <c r="E27" s="1826"/>
      <c r="F27" s="1826"/>
      <c r="G27" s="1826"/>
      <c r="H27" s="748"/>
      <c r="J27" s="877" t="str">
        <f>IF(B27&gt;0,"Inidcate which options chosen and provide contact information","none")</f>
        <v>none</v>
      </c>
      <c r="K27" s="491">
        <f>IF(B27&gt;0,"[  ]",0)</f>
        <v>0</v>
      </c>
      <c r="M27" s="336">
        <f>IF(K27="[  ]","[  ]",1)</f>
        <v>1</v>
      </c>
    </row>
    <row r="28" spans="1:13" x14ac:dyDescent="0.2">
      <c r="A28" s="1838"/>
      <c r="B28" s="1830"/>
      <c r="C28" s="1830"/>
      <c r="D28" s="744"/>
      <c r="E28" s="1826" t="s">
        <v>319</v>
      </c>
      <c r="F28" s="1826"/>
      <c r="G28" s="1826"/>
      <c r="H28" s="748"/>
      <c r="J28" s="765"/>
      <c r="K28" s="421"/>
    </row>
    <row r="29" spans="1:13" x14ac:dyDescent="0.2">
      <c r="A29" s="1838"/>
      <c r="B29" s="1830"/>
      <c r="C29" s="1830"/>
      <c r="D29" s="1845"/>
      <c r="E29" s="1845"/>
      <c r="F29" s="1825" t="s">
        <v>795</v>
      </c>
      <c r="G29" s="1825"/>
      <c r="H29" s="748"/>
      <c r="I29" s="199"/>
      <c r="J29" s="765"/>
      <c r="K29" s="421"/>
    </row>
    <row r="30" spans="1:13" x14ac:dyDescent="0.2">
      <c r="A30" s="338" t="s">
        <v>1136</v>
      </c>
      <c r="B30" s="288"/>
      <c r="C30" s="341">
        <v>1</v>
      </c>
      <c r="D30" s="1841" t="s">
        <v>320</v>
      </c>
      <c r="E30" s="1841"/>
      <c r="F30" s="1841"/>
      <c r="G30" s="1841"/>
      <c r="H30" s="748"/>
      <c r="J30" s="877" t="str">
        <f>IF(B30=1,"Photo","none")</f>
        <v>none</v>
      </c>
      <c r="K30" s="491">
        <f>IF(B30=1,"[  ]",0)</f>
        <v>0</v>
      </c>
      <c r="M30" s="336">
        <f>IF(K30="[  ]","[  ]",1)</f>
        <v>1</v>
      </c>
    </row>
    <row r="31" spans="1:13" x14ac:dyDescent="0.2">
      <c r="A31" s="338" t="s">
        <v>1137</v>
      </c>
      <c r="B31" s="275">
        <f>IF(D32=I75,1,0)+IF(F32=I75,1,0)</f>
        <v>2</v>
      </c>
      <c r="C31" s="346" t="s">
        <v>47</v>
      </c>
      <c r="D31" s="1822" t="s">
        <v>827</v>
      </c>
      <c r="E31" s="1822"/>
      <c r="F31" s="1822"/>
      <c r="G31" s="1822"/>
      <c r="H31" s="748"/>
      <c r="I31" s="543"/>
      <c r="J31" s="877" t="str">
        <f>IF(B31&gt;0,"Photo or material cut sheets.","none")</f>
        <v>Photo or material cut sheets.</v>
      </c>
      <c r="K31" s="536"/>
      <c r="M31" s="336"/>
    </row>
    <row r="32" spans="1:13" x14ac:dyDescent="0.2">
      <c r="A32" s="745"/>
      <c r="B32" s="742"/>
      <c r="C32" s="743"/>
      <c r="D32" s="744" t="s">
        <v>18</v>
      </c>
      <c r="E32" s="1321" t="s">
        <v>299</v>
      </c>
      <c r="F32" s="744" t="s">
        <v>18</v>
      </c>
      <c r="G32" s="1321" t="s">
        <v>300</v>
      </c>
      <c r="H32" s="748"/>
      <c r="J32" s="544"/>
      <c r="K32" s="536"/>
      <c r="M32" s="336"/>
    </row>
    <row r="33" spans="1:13" hidden="1" x14ac:dyDescent="0.2">
      <c r="A33" s="516" t="s">
        <v>1138</v>
      </c>
      <c r="B33" s="288"/>
      <c r="C33" s="341">
        <v>1</v>
      </c>
      <c r="D33" s="1665" t="s">
        <v>309</v>
      </c>
      <c r="E33" s="1665"/>
      <c r="F33" s="1665"/>
      <c r="G33" s="1665"/>
      <c r="H33" s="748"/>
      <c r="J33" s="877" t="str">
        <f>IF(B33=1,"Photo or material cut sheets.","none")</f>
        <v>none</v>
      </c>
      <c r="K33" s="536"/>
      <c r="M33" s="336"/>
    </row>
    <row r="34" spans="1:13" x14ac:dyDescent="0.2">
      <c r="A34" s="516" t="s">
        <v>1139</v>
      </c>
      <c r="B34" s="288">
        <v>1</v>
      </c>
      <c r="C34" s="341">
        <v>1</v>
      </c>
      <c r="D34" s="1823" t="s">
        <v>310</v>
      </c>
      <c r="E34" s="1823"/>
      <c r="F34" s="1823"/>
      <c r="G34" s="1823"/>
      <c r="H34" s="748"/>
      <c r="J34" s="877" t="str">
        <f>IF(B34=1,"Photo or material cut sheets.","none")</f>
        <v>Photo or material cut sheets.</v>
      </c>
      <c r="K34" s="536"/>
      <c r="M34" s="336"/>
    </row>
    <row r="35" spans="1:13" hidden="1" x14ac:dyDescent="0.2">
      <c r="A35" s="516" t="s">
        <v>1140</v>
      </c>
      <c r="B35" s="288"/>
      <c r="C35" s="341">
        <v>1</v>
      </c>
      <c r="D35" s="1665" t="s">
        <v>321</v>
      </c>
      <c r="E35" s="1665"/>
      <c r="F35" s="1665"/>
      <c r="G35" s="1665"/>
      <c r="H35" s="748"/>
      <c r="J35" s="877" t="str">
        <f>IF(B35=1,"Photo or detailed plan","none")</f>
        <v>none</v>
      </c>
      <c r="K35" s="536">
        <f>IF(B35=1,"[  ]",0)</f>
        <v>0</v>
      </c>
      <c r="M35" s="336">
        <f>IF(K35="[  ]","[  ]",1)</f>
        <v>1</v>
      </c>
    </row>
    <row r="36" spans="1:13" hidden="1" x14ac:dyDescent="0.2">
      <c r="A36" s="516" t="s">
        <v>1141</v>
      </c>
      <c r="B36" s="288"/>
      <c r="C36" s="341">
        <v>1</v>
      </c>
      <c r="D36" s="1665" t="s">
        <v>939</v>
      </c>
      <c r="E36" s="1665"/>
      <c r="F36" s="1665"/>
      <c r="G36" s="1665"/>
      <c r="H36" s="748"/>
      <c r="J36" s="877" t="str">
        <f>IF(B36=1,"Photos or detailed plans","none")</f>
        <v>none</v>
      </c>
      <c r="K36" s="491">
        <f>IF(B36=1,"[  ]",0)</f>
        <v>0</v>
      </c>
      <c r="M36" s="336">
        <f>IF(K36="[  ]","[  ]",1)</f>
        <v>1</v>
      </c>
    </row>
    <row r="37" spans="1:13" hidden="1" x14ac:dyDescent="0.2">
      <c r="A37" s="516" t="s">
        <v>721</v>
      </c>
      <c r="B37" s="288"/>
      <c r="C37" s="341">
        <v>1</v>
      </c>
      <c r="D37" s="1665" t="s">
        <v>323</v>
      </c>
      <c r="E37" s="1665"/>
      <c r="F37" s="1665"/>
      <c r="G37" s="1665"/>
      <c r="H37" s="748"/>
      <c r="J37" s="877" t="str">
        <f>IF(B37=1,"Photos or detailed plan","none")</f>
        <v>none</v>
      </c>
      <c r="K37" s="491">
        <f>IF(B37=1,"[  ]",0)</f>
        <v>0</v>
      </c>
      <c r="M37" s="336">
        <f>IF(K37="[  ]","[  ]",1)</f>
        <v>1</v>
      </c>
    </row>
    <row r="38" spans="1:13" x14ac:dyDescent="0.2">
      <c r="A38" s="516" t="s">
        <v>722</v>
      </c>
      <c r="B38" s="288"/>
      <c r="C38" s="341">
        <v>1</v>
      </c>
      <c r="D38" s="1826" t="s">
        <v>324</v>
      </c>
      <c r="E38" s="1826"/>
      <c r="F38" s="1826"/>
      <c r="G38" s="1826"/>
      <c r="H38" s="748"/>
      <c r="J38" s="877" t="str">
        <f>IF(B38=1,"Photos or detailed plan","none")</f>
        <v>none</v>
      </c>
      <c r="K38" s="493">
        <f>IF(B38=1,"[  ]",0)</f>
        <v>0</v>
      </c>
      <c r="M38" s="336">
        <f>IF(K38="[  ]","[  ]",1)</f>
        <v>1</v>
      </c>
    </row>
    <row r="39" spans="1:13" x14ac:dyDescent="0.2">
      <c r="A39" s="516" t="s">
        <v>723</v>
      </c>
      <c r="B39" s="288"/>
      <c r="C39" s="341">
        <v>1</v>
      </c>
      <c r="D39" s="1825" t="s">
        <v>923</v>
      </c>
      <c r="E39" s="1826"/>
      <c r="F39" s="1826"/>
      <c r="G39" s="1826"/>
      <c r="H39" s="748"/>
      <c r="J39" s="877" t="str">
        <f>IF(B39=1,"Photos or detailed plan","none")</f>
        <v>none</v>
      </c>
      <c r="K39" s="491">
        <f>IF(B39=1,"[  ]",0)</f>
        <v>0</v>
      </c>
      <c r="M39" s="336">
        <f>IF(K39="[  ]","[  ]",1)</f>
        <v>1</v>
      </c>
    </row>
    <row r="40" spans="1:13" ht="10.5" customHeight="1" x14ac:dyDescent="0.2">
      <c r="A40" s="1838"/>
      <c r="B40" s="1830"/>
      <c r="C40" s="1830"/>
      <c r="D40" s="1830"/>
      <c r="E40" s="1830"/>
      <c r="F40" s="1830"/>
      <c r="G40" s="1830"/>
      <c r="H40" s="331"/>
      <c r="J40" s="765"/>
      <c r="K40" s="421"/>
    </row>
    <row r="41" spans="1:13" ht="16" x14ac:dyDescent="0.2">
      <c r="A41" s="1839" t="s">
        <v>1214</v>
      </c>
      <c r="B41" s="1840"/>
      <c r="C41" s="1840"/>
      <c r="D41" s="1840"/>
      <c r="E41" s="1840"/>
      <c r="F41" s="1840"/>
      <c r="G41" s="1840"/>
      <c r="H41" s="326" t="s">
        <v>762</v>
      </c>
      <c r="J41" s="205" t="s">
        <v>326</v>
      </c>
      <c r="K41" s="421"/>
    </row>
    <row r="42" spans="1:13" x14ac:dyDescent="0.2">
      <c r="A42" s="338" t="s">
        <v>1127</v>
      </c>
      <c r="B42" s="288">
        <v>1</v>
      </c>
      <c r="C42" s="341">
        <v>1</v>
      </c>
      <c r="D42" s="1822" t="s">
        <v>909</v>
      </c>
      <c r="E42" s="1822"/>
      <c r="F42" s="1822"/>
      <c r="G42" s="1822"/>
      <c r="H42" s="748" t="s">
        <v>1419</v>
      </c>
      <c r="J42" s="877" t="str">
        <f>IF(B42=1,"Photo or detailed plan","none")</f>
        <v>Photo or detailed plan</v>
      </c>
      <c r="K42" s="491" t="str">
        <f t="shared" ref="K42:K47" si="2">IF(B42=1,"[  ]",0)</f>
        <v>[  ]</v>
      </c>
      <c r="M42" s="336" t="str">
        <f t="shared" ref="M42:M47" si="3">IF(K42="[  ]","[  ]",1)</f>
        <v>[  ]</v>
      </c>
    </row>
    <row r="43" spans="1:13" x14ac:dyDescent="0.2">
      <c r="A43" s="338" t="s">
        <v>1128</v>
      </c>
      <c r="B43" s="288">
        <v>1</v>
      </c>
      <c r="C43" s="341">
        <v>1</v>
      </c>
      <c r="D43" s="1822" t="s">
        <v>327</v>
      </c>
      <c r="E43" s="1823"/>
      <c r="F43" s="1823"/>
      <c r="G43" s="1823"/>
      <c r="H43" s="748" t="s">
        <v>1093</v>
      </c>
      <c r="J43" s="877" t="str">
        <f>IF(B43=1,"Photos or detailed plan","none")</f>
        <v>Photos or detailed plan</v>
      </c>
      <c r="K43" s="536" t="str">
        <f t="shared" si="2"/>
        <v>[  ]</v>
      </c>
      <c r="M43" s="336" t="str">
        <f t="shared" si="3"/>
        <v>[  ]</v>
      </c>
    </row>
    <row r="44" spans="1:13" hidden="1" x14ac:dyDescent="0.2">
      <c r="A44" s="338" t="s">
        <v>1129</v>
      </c>
      <c r="B44" s="288"/>
      <c r="C44" s="341">
        <v>1</v>
      </c>
      <c r="D44" s="1666" t="s">
        <v>328</v>
      </c>
      <c r="E44" s="1665"/>
      <c r="F44" s="1665"/>
      <c r="G44" s="1665"/>
      <c r="H44" s="748"/>
      <c r="J44" s="877" t="str">
        <f>IF(B44=1,"Photo or equipment cut sheet","none")</f>
        <v>none</v>
      </c>
      <c r="K44" s="491">
        <f t="shared" si="2"/>
        <v>0</v>
      </c>
      <c r="M44" s="336">
        <f t="shared" si="3"/>
        <v>1</v>
      </c>
    </row>
    <row r="45" spans="1:13" hidden="1" x14ac:dyDescent="0.2">
      <c r="A45" s="338" t="s">
        <v>1130</v>
      </c>
      <c r="B45" s="288"/>
      <c r="C45" s="341">
        <v>1</v>
      </c>
      <c r="D45" s="1824" t="s">
        <v>567</v>
      </c>
      <c r="E45" s="1824"/>
      <c r="F45" s="1824"/>
      <c r="G45" s="1824"/>
      <c r="H45" s="748"/>
      <c r="I45" s="28"/>
      <c r="J45" s="877" t="str">
        <f>IF(B45=1,"Photo or detailed plan","none")</f>
        <v>none</v>
      </c>
      <c r="K45" s="491">
        <f t="shared" si="2"/>
        <v>0</v>
      </c>
      <c r="M45" s="336">
        <f t="shared" si="3"/>
        <v>1</v>
      </c>
    </row>
    <row r="46" spans="1:13" hidden="1" x14ac:dyDescent="0.2">
      <c r="A46" s="338" t="s">
        <v>1131</v>
      </c>
      <c r="B46" s="288"/>
      <c r="C46" s="341">
        <v>1</v>
      </c>
      <c r="D46" s="1666" t="s">
        <v>330</v>
      </c>
      <c r="E46" s="1665"/>
      <c r="F46" s="1665"/>
      <c r="G46" s="1665"/>
      <c r="H46" s="748"/>
      <c r="J46" s="877" t="str">
        <f>IF(B46=1,"Photo or visual inspection by Certying Agent","none")</f>
        <v>none</v>
      </c>
      <c r="K46" s="491">
        <f t="shared" si="2"/>
        <v>0</v>
      </c>
      <c r="M46" s="336">
        <f t="shared" si="3"/>
        <v>1</v>
      </c>
    </row>
    <row r="47" spans="1:13" x14ac:dyDescent="0.2">
      <c r="A47" s="338" t="s">
        <v>1132</v>
      </c>
      <c r="B47" s="288"/>
      <c r="C47" s="1038">
        <v>1</v>
      </c>
      <c r="D47" s="1825" t="s">
        <v>938</v>
      </c>
      <c r="E47" s="1826"/>
      <c r="F47" s="1826"/>
      <c r="G47" s="1826"/>
      <c r="H47" s="748"/>
      <c r="J47" s="877" t="str">
        <f>IF(B47=1,"Photo or visual inspection by certifing agent","none")</f>
        <v>none</v>
      </c>
      <c r="K47" s="491">
        <f t="shared" si="2"/>
        <v>0</v>
      </c>
      <c r="M47" s="336">
        <f t="shared" si="3"/>
        <v>1</v>
      </c>
    </row>
    <row r="48" spans="1:13" x14ac:dyDescent="0.2">
      <c r="A48" s="338" t="s">
        <v>1133</v>
      </c>
      <c r="B48" s="288"/>
      <c r="C48" s="1038">
        <v>1</v>
      </c>
      <c r="D48" s="1828" t="s">
        <v>515</v>
      </c>
      <c r="E48" s="1828"/>
      <c r="F48" s="1828"/>
      <c r="G48" s="1828"/>
      <c r="H48" s="748"/>
      <c r="I48" s="103"/>
      <c r="J48" s="877" t="str">
        <f>IF(B48=1,"Photo or visual inspection by certifying agent.","none")</f>
        <v>none</v>
      </c>
      <c r="K48" s="491"/>
      <c r="M48" s="336"/>
    </row>
    <row r="49" spans="1:13" x14ac:dyDescent="0.2">
      <c r="A49" s="338" t="s">
        <v>1134</v>
      </c>
      <c r="B49" s="288">
        <v>1</v>
      </c>
      <c r="C49" s="341">
        <v>1</v>
      </c>
      <c r="D49" s="1827" t="s">
        <v>568</v>
      </c>
      <c r="E49" s="1827"/>
      <c r="F49" s="1827"/>
      <c r="G49" s="1827"/>
      <c r="H49" s="748" t="s">
        <v>1437</v>
      </c>
      <c r="I49" s="28"/>
      <c r="J49" s="877" t="s">
        <v>68</v>
      </c>
      <c r="K49" s="333" t="s">
        <v>7</v>
      </c>
      <c r="M49" s="336"/>
    </row>
    <row r="50" spans="1:13" hidden="1" x14ac:dyDescent="0.2">
      <c r="A50" s="338" t="s">
        <v>1135</v>
      </c>
      <c r="B50" s="1269"/>
      <c r="C50" s="1265"/>
      <c r="D50" s="1665" t="s">
        <v>1312</v>
      </c>
      <c r="E50" s="1665"/>
      <c r="F50" s="1665"/>
      <c r="G50" s="1665"/>
      <c r="H50" s="748"/>
      <c r="I50" s="199"/>
      <c r="J50" s="877" t="str">
        <f>IF(B50=2,"Cut sheet of sensor/shutoff system","none")</f>
        <v>none</v>
      </c>
      <c r="K50" s="491">
        <f>IF(B50=2,"[  ]",0)</f>
        <v>0</v>
      </c>
      <c r="M50" s="336">
        <f>IF(K50="[  ]","[  ]",1)</f>
        <v>1</v>
      </c>
    </row>
    <row r="51" spans="1:13" x14ac:dyDescent="0.2">
      <c r="A51" s="338" t="s">
        <v>732</v>
      </c>
      <c r="B51" s="288">
        <v>1</v>
      </c>
      <c r="C51" s="341">
        <v>1</v>
      </c>
      <c r="D51" s="1822" t="s">
        <v>456</v>
      </c>
      <c r="E51" s="1822"/>
      <c r="F51" s="1822"/>
      <c r="G51" s="1822"/>
      <c r="H51" s="748" t="s">
        <v>1420</v>
      </c>
      <c r="J51" s="877" t="str">
        <f>IF(B51=1,"Photo of access panel","none")</f>
        <v>Photo of access panel</v>
      </c>
      <c r="K51" s="491" t="str">
        <f>IF(B51=1,"[  ]",0)</f>
        <v>[  ]</v>
      </c>
      <c r="M51" s="336" t="str">
        <f>IF(K51="[  ]","[  ]",1)</f>
        <v>[  ]</v>
      </c>
    </row>
    <row r="52" spans="1:13" hidden="1" x14ac:dyDescent="0.2">
      <c r="A52" s="338" t="s">
        <v>733</v>
      </c>
      <c r="B52" s="288"/>
      <c r="C52" s="341">
        <v>1</v>
      </c>
      <c r="D52" s="1665" t="s">
        <v>335</v>
      </c>
      <c r="E52" s="1665"/>
      <c r="F52" s="1665"/>
      <c r="G52" s="1665"/>
      <c r="H52" s="748"/>
      <c r="J52" s="877" t="s">
        <v>68</v>
      </c>
      <c r="K52" s="333" t="s">
        <v>7</v>
      </c>
    </row>
    <row r="53" spans="1:13" x14ac:dyDescent="0.2">
      <c r="A53" s="1829"/>
      <c r="B53" s="545">
        <f>ROUNDDOWN(SUM(B5:B5,B6,B9:B22,B25:B39,B42:B52),0)</f>
        <v>8</v>
      </c>
      <c r="C53" s="341">
        <v>47</v>
      </c>
      <c r="D53" s="1824" t="s">
        <v>943</v>
      </c>
      <c r="E53" s="1824"/>
      <c r="F53" s="1824"/>
      <c r="G53" s="1824"/>
      <c r="H53" s="1649"/>
    </row>
    <row r="54" spans="1:13" x14ac:dyDescent="0.2">
      <c r="A54" s="1829"/>
      <c r="B54" s="1716"/>
      <c r="C54" s="1830"/>
      <c r="D54" s="1830"/>
      <c r="E54" s="1830"/>
      <c r="F54" s="1830"/>
      <c r="G54" s="1830"/>
      <c r="H54" s="1649"/>
    </row>
    <row r="55" spans="1:13" ht="19" x14ac:dyDescent="0.25">
      <c r="A55" s="1829"/>
      <c r="B55" s="546">
        <f>IF(B53&gt;35,35,B53)</f>
        <v>8</v>
      </c>
      <c r="C55" s="1832" t="s">
        <v>336</v>
      </c>
      <c r="D55" s="1832"/>
      <c r="E55" s="1832"/>
      <c r="F55" s="1832"/>
      <c r="G55" s="1832"/>
      <c r="H55" s="1649"/>
      <c r="I55" s="128"/>
    </row>
    <row r="56" spans="1:13" x14ac:dyDescent="0.2">
      <c r="A56" s="1829"/>
      <c r="B56" s="1716"/>
      <c r="C56" s="1830"/>
      <c r="D56" s="1830"/>
      <c r="E56" s="1830"/>
      <c r="F56" s="1830"/>
      <c r="G56" s="1830"/>
      <c r="H56" s="1649"/>
    </row>
    <row r="57" spans="1:13" ht="16" thickBot="1" x14ac:dyDescent="0.25">
      <c r="A57" s="1833" t="s">
        <v>337</v>
      </c>
      <c r="B57" s="1834"/>
      <c r="C57" s="1834"/>
      <c r="D57" s="1834"/>
      <c r="E57" s="1831"/>
      <c r="F57" s="1831"/>
      <c r="G57" s="1831"/>
      <c r="H57" s="1650"/>
      <c r="I57" s="306"/>
      <c r="J57" s="765"/>
    </row>
    <row r="60" spans="1:13" x14ac:dyDescent="0.2">
      <c r="H60" s="391"/>
      <c r="I60" s="510" t="s">
        <v>7</v>
      </c>
    </row>
    <row r="61" spans="1:13" x14ac:dyDescent="0.2">
      <c r="H61" s="391"/>
      <c r="I61" s="510" t="s">
        <v>75</v>
      </c>
    </row>
    <row r="62" spans="1:13" x14ac:dyDescent="0.2">
      <c r="H62" s="391"/>
      <c r="I62" s="510" t="s">
        <v>495</v>
      </c>
    </row>
    <row r="63" spans="1:13" x14ac:dyDescent="0.2">
      <c r="H63" s="391"/>
      <c r="I63" s="510">
        <v>1</v>
      </c>
    </row>
    <row r="64" spans="1:13" x14ac:dyDescent="0.2">
      <c r="H64" s="391"/>
      <c r="I64" s="392" t="s">
        <v>7</v>
      </c>
    </row>
    <row r="65" spans="8:9" x14ac:dyDescent="0.2">
      <c r="H65" s="391"/>
      <c r="I65" s="510" t="s">
        <v>75</v>
      </c>
    </row>
    <row r="66" spans="8:9" x14ac:dyDescent="0.2">
      <c r="H66" s="391"/>
      <c r="I66" s="510" t="s">
        <v>495</v>
      </c>
    </row>
    <row r="67" spans="8:9" x14ac:dyDescent="0.2">
      <c r="H67" s="391" t="s">
        <v>7</v>
      </c>
      <c r="I67" s="510">
        <v>2</v>
      </c>
    </row>
    <row r="68" spans="8:9" x14ac:dyDescent="0.2">
      <c r="H68" s="510" t="s">
        <v>75</v>
      </c>
      <c r="I68" s="392" t="s">
        <v>7</v>
      </c>
    </row>
    <row r="69" spans="8:9" x14ac:dyDescent="0.2">
      <c r="H69" s="510" t="s">
        <v>495</v>
      </c>
      <c r="I69" s="510" t="s">
        <v>75</v>
      </c>
    </row>
    <row r="70" spans="8:9" x14ac:dyDescent="0.2">
      <c r="H70" s="510">
        <v>1</v>
      </c>
      <c r="I70" s="510" t="s">
        <v>495</v>
      </c>
    </row>
    <row r="71" spans="8:9" x14ac:dyDescent="0.2">
      <c r="H71" s="391"/>
      <c r="I71" s="510">
        <v>3</v>
      </c>
    </row>
    <row r="72" spans="8:9" x14ac:dyDescent="0.2">
      <c r="H72" s="391"/>
      <c r="I72" s="392"/>
    </row>
    <row r="73" spans="8:9" x14ac:dyDescent="0.2">
      <c r="H73" s="391"/>
      <c r="I73" s="510" t="s">
        <v>7</v>
      </c>
    </row>
    <row r="74" spans="8:9" x14ac:dyDescent="0.2">
      <c r="H74" s="391"/>
      <c r="I74" s="510" t="s">
        <v>495</v>
      </c>
    </row>
    <row r="75" spans="8:9" x14ac:dyDescent="0.2">
      <c r="H75" s="391"/>
      <c r="I75" s="510" t="s">
        <v>18</v>
      </c>
    </row>
    <row r="76" spans="8:9" x14ac:dyDescent="0.2">
      <c r="H76" s="391"/>
      <c r="I76" s="510" t="s">
        <v>19</v>
      </c>
    </row>
    <row r="77" spans="8:9" x14ac:dyDescent="0.2">
      <c r="H77" s="391"/>
      <c r="I77" s="392" t="s">
        <v>7</v>
      </c>
    </row>
    <row r="78" spans="8:9" x14ac:dyDescent="0.2">
      <c r="H78" s="391"/>
      <c r="I78" s="510" t="s">
        <v>75</v>
      </c>
    </row>
    <row r="79" spans="8:9" x14ac:dyDescent="0.2">
      <c r="H79" s="391"/>
      <c r="I79" s="510" t="s">
        <v>495</v>
      </c>
    </row>
    <row r="80" spans="8:9" x14ac:dyDescent="0.2">
      <c r="H80" s="391"/>
      <c r="I80" s="510">
        <v>1</v>
      </c>
    </row>
    <row r="81" spans="8:9" x14ac:dyDescent="0.2">
      <c r="H81" s="391"/>
      <c r="I81" s="510">
        <v>2</v>
      </c>
    </row>
    <row r="82" spans="8:9" x14ac:dyDescent="0.2">
      <c r="H82" s="391"/>
      <c r="I82" s="510">
        <v>3</v>
      </c>
    </row>
    <row r="83" spans="8:9" x14ac:dyDescent="0.2">
      <c r="H83" s="391"/>
      <c r="I83" s="510">
        <v>4</v>
      </c>
    </row>
    <row r="84" spans="8:9" x14ac:dyDescent="0.2">
      <c r="H84" s="391"/>
      <c r="I84" s="510">
        <v>5</v>
      </c>
    </row>
    <row r="85" spans="8:9" x14ac:dyDescent="0.2">
      <c r="H85" s="391"/>
      <c r="I85" s="510" t="s">
        <v>791</v>
      </c>
    </row>
    <row r="86" spans="8:9" x14ac:dyDescent="0.2">
      <c r="H86" s="391"/>
      <c r="I86" s="510">
        <v>7</v>
      </c>
    </row>
    <row r="87" spans="8:9" x14ac:dyDescent="0.2">
      <c r="H87" s="391"/>
      <c r="I87" s="510">
        <v>8</v>
      </c>
    </row>
    <row r="88" spans="8:9" x14ac:dyDescent="0.2">
      <c r="H88" s="391"/>
      <c r="I88" s="510">
        <v>9</v>
      </c>
    </row>
    <row r="89" spans="8:9" x14ac:dyDescent="0.2">
      <c r="H89" s="391"/>
      <c r="I89" s="510">
        <v>10</v>
      </c>
    </row>
    <row r="90" spans="8:9" x14ac:dyDescent="0.2">
      <c r="H90" s="391"/>
      <c r="I90" s="392"/>
    </row>
    <row r="91" spans="8:9" x14ac:dyDescent="0.2">
      <c r="H91" s="391"/>
      <c r="I91" s="392"/>
    </row>
    <row r="92" spans="8:9" x14ac:dyDescent="0.2">
      <c r="H92" s="391"/>
      <c r="I92" s="392"/>
    </row>
    <row r="93" spans="8:9" x14ac:dyDescent="0.2">
      <c r="H93" s="391"/>
      <c r="I93" s="392"/>
    </row>
    <row r="94" spans="8:9" x14ac:dyDescent="0.2">
      <c r="H94" s="391"/>
      <c r="I94" s="510">
        <v>11</v>
      </c>
    </row>
    <row r="95" spans="8:9" x14ac:dyDescent="0.2">
      <c r="H95" s="391"/>
      <c r="I95" s="510">
        <v>12</v>
      </c>
    </row>
  </sheetData>
  <sheetProtection algorithmName="SHA-512" hashValue="seacbppJlGgv/SSGP5e9mMaLmLo5pQidOSDVTrG/94W4uS+NftGBlXGntu6trh0R2Oz2wxge3dE8KguprtGAQw==" saltValue="onIqSBkwroRaon3Pm5HHrQ==" spinCount="100000" sheet="1" insertHyperlinks="0" selectLockedCells="1"/>
  <mergeCells count="62">
    <mergeCell ref="A1:H1"/>
    <mergeCell ref="A4:G4"/>
    <mergeCell ref="D5:G5"/>
    <mergeCell ref="D6:G6"/>
    <mergeCell ref="D3:G3"/>
    <mergeCell ref="A7:C8"/>
    <mergeCell ref="A23:G23"/>
    <mergeCell ref="E20:G20"/>
    <mergeCell ref="E21:G21"/>
    <mergeCell ref="A24:G24"/>
    <mergeCell ref="A19:C21"/>
    <mergeCell ref="D13:G13"/>
    <mergeCell ref="D14:G14"/>
    <mergeCell ref="D15:G15"/>
    <mergeCell ref="D12:G12"/>
    <mergeCell ref="D18:G18"/>
    <mergeCell ref="E19:G19"/>
    <mergeCell ref="E7:G7"/>
    <mergeCell ref="E8:G8"/>
    <mergeCell ref="D9:G9"/>
    <mergeCell ref="D10:G10"/>
    <mergeCell ref="D17:G17"/>
    <mergeCell ref="D27:G27"/>
    <mergeCell ref="D26:G26"/>
    <mergeCell ref="E28:G28"/>
    <mergeCell ref="F29:G29"/>
    <mergeCell ref="D29:E29"/>
    <mergeCell ref="D22:G22"/>
    <mergeCell ref="D11:G11"/>
    <mergeCell ref="D25:G25"/>
    <mergeCell ref="D42:G42"/>
    <mergeCell ref="A40:G40"/>
    <mergeCell ref="D39:G39"/>
    <mergeCell ref="A41:G41"/>
    <mergeCell ref="D37:G37"/>
    <mergeCell ref="D38:G38"/>
    <mergeCell ref="D36:G36"/>
    <mergeCell ref="D34:G34"/>
    <mergeCell ref="D33:G33"/>
    <mergeCell ref="D35:G35"/>
    <mergeCell ref="D31:G31"/>
    <mergeCell ref="D30:G30"/>
    <mergeCell ref="A28:C29"/>
    <mergeCell ref="D16:G16"/>
    <mergeCell ref="A53:A56"/>
    <mergeCell ref="B54:G54"/>
    <mergeCell ref="B56:G56"/>
    <mergeCell ref="E57:G57"/>
    <mergeCell ref="C55:G55"/>
    <mergeCell ref="D53:G53"/>
    <mergeCell ref="A57:D57"/>
    <mergeCell ref="D46:G46"/>
    <mergeCell ref="D44:G44"/>
    <mergeCell ref="D43:G43"/>
    <mergeCell ref="H53:H57"/>
    <mergeCell ref="D52:G52"/>
    <mergeCell ref="D51:G51"/>
    <mergeCell ref="D50:G50"/>
    <mergeCell ref="D45:G45"/>
    <mergeCell ref="D47:G47"/>
    <mergeCell ref="D49:G49"/>
    <mergeCell ref="D48:G48"/>
  </mergeCells>
  <phoneticPr fontId="13" type="noConversion"/>
  <conditionalFormatting sqref="K5">
    <cfRule type="cellIs" dxfId="66" priority="1" stopIfTrue="1" operator="equal">
      <formula>$M$5</formula>
    </cfRule>
  </conditionalFormatting>
  <conditionalFormatting sqref="K6">
    <cfRule type="cellIs" dxfId="65" priority="3" stopIfTrue="1" operator="equal">
      <formula>$M$6</formula>
    </cfRule>
  </conditionalFormatting>
  <conditionalFormatting sqref="K9">
    <cfRule type="cellIs" dxfId="64" priority="4" stopIfTrue="1" operator="equal">
      <formula>$M$9</formula>
    </cfRule>
  </conditionalFormatting>
  <conditionalFormatting sqref="K10">
    <cfRule type="cellIs" dxfId="63" priority="5" stopIfTrue="1" operator="equal">
      <formula>$M$10</formula>
    </cfRule>
  </conditionalFormatting>
  <conditionalFormatting sqref="K11">
    <cfRule type="cellIs" dxfId="62" priority="6" stopIfTrue="1" operator="equal">
      <formula>$M$11</formula>
    </cfRule>
  </conditionalFormatting>
  <conditionalFormatting sqref="K12">
    <cfRule type="cellIs" dxfId="61" priority="7" stopIfTrue="1" operator="equal">
      <formula>$M$12</formula>
    </cfRule>
  </conditionalFormatting>
  <conditionalFormatting sqref="K13">
    <cfRule type="cellIs" dxfId="60" priority="8" stopIfTrue="1" operator="equal">
      <formula>$M$13</formula>
    </cfRule>
  </conditionalFormatting>
  <conditionalFormatting sqref="K14">
    <cfRule type="cellIs" dxfId="59" priority="9" stopIfTrue="1" operator="equal">
      <formula>$M$14</formula>
    </cfRule>
  </conditionalFormatting>
  <conditionalFormatting sqref="K15">
    <cfRule type="cellIs" dxfId="58" priority="13" stopIfTrue="1" operator="equal">
      <formula>$M$15</formula>
    </cfRule>
  </conditionalFormatting>
  <conditionalFormatting sqref="K16">
    <cfRule type="cellIs" dxfId="57" priority="14" stopIfTrue="1" operator="equal">
      <formula>$M$16</formula>
    </cfRule>
  </conditionalFormatting>
  <conditionalFormatting sqref="K17">
    <cfRule type="cellIs" dxfId="56" priority="15" stopIfTrue="1" operator="equal">
      <formula>$M$17</formula>
    </cfRule>
  </conditionalFormatting>
  <conditionalFormatting sqref="K18">
    <cfRule type="cellIs" dxfId="55" priority="16" stopIfTrue="1" operator="equal">
      <formula>$M$18</formula>
    </cfRule>
  </conditionalFormatting>
  <conditionalFormatting sqref="K25">
    <cfRule type="cellIs" dxfId="54" priority="17" stopIfTrue="1" operator="equal">
      <formula>$M$25</formula>
    </cfRule>
  </conditionalFormatting>
  <conditionalFormatting sqref="K26">
    <cfRule type="cellIs" dxfId="53" priority="18" stopIfTrue="1" operator="equal">
      <formula>$M$26</formula>
    </cfRule>
  </conditionalFormatting>
  <conditionalFormatting sqref="K27">
    <cfRule type="cellIs" dxfId="52" priority="19" stopIfTrue="1" operator="equal">
      <formula>$M$27</formula>
    </cfRule>
  </conditionalFormatting>
  <conditionalFormatting sqref="K30:K34">
    <cfRule type="cellIs" dxfId="51" priority="20" stopIfTrue="1" operator="equal">
      <formula>$M$30</formula>
    </cfRule>
  </conditionalFormatting>
  <conditionalFormatting sqref="K35">
    <cfRule type="cellIs" dxfId="50" priority="21" stopIfTrue="1" operator="equal">
      <formula>$M$35</formula>
    </cfRule>
  </conditionalFormatting>
  <conditionalFormatting sqref="K36">
    <cfRule type="cellIs" dxfId="49" priority="22" stopIfTrue="1" operator="equal">
      <formula>$M$36</formula>
    </cfRule>
  </conditionalFormatting>
  <conditionalFormatting sqref="K37">
    <cfRule type="cellIs" dxfId="48" priority="23" stopIfTrue="1" operator="equal">
      <formula>$M$37</formula>
    </cfRule>
  </conditionalFormatting>
  <conditionalFormatting sqref="K38">
    <cfRule type="cellIs" dxfId="47" priority="24" stopIfTrue="1" operator="equal">
      <formula>$M$38</formula>
    </cfRule>
  </conditionalFormatting>
  <conditionalFormatting sqref="K39">
    <cfRule type="cellIs" dxfId="46" priority="25" stopIfTrue="1" operator="equal">
      <formula>$M$39</formula>
    </cfRule>
  </conditionalFormatting>
  <conditionalFormatting sqref="K42">
    <cfRule type="cellIs" dxfId="45" priority="26" stopIfTrue="1" operator="equal">
      <formula>$M$42</formula>
    </cfRule>
  </conditionalFormatting>
  <conditionalFormatting sqref="K43">
    <cfRule type="cellIs" dxfId="44" priority="27" stopIfTrue="1" operator="equal">
      <formula>$M$43</formula>
    </cfRule>
  </conditionalFormatting>
  <conditionalFormatting sqref="K44">
    <cfRule type="cellIs" dxfId="43" priority="28" stopIfTrue="1" operator="equal">
      <formula>$M$44</formula>
    </cfRule>
  </conditionalFormatting>
  <conditionalFormatting sqref="K45">
    <cfRule type="cellIs" dxfId="42" priority="29" stopIfTrue="1" operator="equal">
      <formula>$M$45</formula>
    </cfRule>
  </conditionalFormatting>
  <conditionalFormatting sqref="K46">
    <cfRule type="cellIs" dxfId="41" priority="30" stopIfTrue="1" operator="equal">
      <formula>$M$46</formula>
    </cfRule>
  </conditionalFormatting>
  <conditionalFormatting sqref="K47:K48">
    <cfRule type="cellIs" dxfId="40" priority="32" stopIfTrue="1" operator="equal">
      <formula>$M$47</formula>
    </cfRule>
  </conditionalFormatting>
  <conditionalFormatting sqref="K50">
    <cfRule type="cellIs" dxfId="39" priority="33" stopIfTrue="1" operator="equal">
      <formula>$M$50</formula>
    </cfRule>
  </conditionalFormatting>
  <conditionalFormatting sqref="K51">
    <cfRule type="cellIs" dxfId="38" priority="34" stopIfTrue="1" operator="equal">
      <formula>$M$51</formula>
    </cfRule>
  </conditionalFormatting>
  <dataValidations count="5">
    <dataValidation type="list" allowBlank="1" showInputMessage="1" showErrorMessage="1" sqref="D28" xr:uid="{00000000-0002-0000-0D00-000000000000}">
      <formula1>$I$78:$I$85</formula1>
    </dataValidation>
    <dataValidation type="list" allowBlank="1" showInputMessage="1" showErrorMessage="1" sqref="B25" xr:uid="{00000000-0002-0000-0D00-000001000000}">
      <formula1>$I$68:$I$71</formula1>
    </dataValidation>
    <dataValidation type="list" allowBlank="1" showInputMessage="1" showErrorMessage="1" sqref="D7:D8 D19:D21 D32 F32" xr:uid="{00000000-0002-0000-0D00-000002000000}">
      <formula1>$I$73:$I$76</formula1>
    </dataValidation>
    <dataValidation type="list" allowBlank="1" showInputMessage="1" showErrorMessage="1" sqref="B5 B51:B52 B42:B49 B33:B39 B30 B9:B17" xr:uid="{00000000-0002-0000-0D00-000003000000}">
      <formula1>$H$67:$H$70</formula1>
    </dataValidation>
    <dataValidation type="list" allowBlank="1" showInputMessage="1" showErrorMessage="1" sqref="B26 B22" xr:uid="{00000000-0002-0000-0D00-000004000000}">
      <formula1>$I$64:$I$67</formula1>
    </dataValidation>
  </dataValidations>
  <pageMargins left="0.2" right="0.2" top="0.25" bottom="1" header="0.3" footer="0.3"/>
  <pageSetup scale="87" fitToHeight="2" orientation="landscape" cellComments="asDisplayed" r:id="rId1"/>
  <headerFooter>
    <oddFooter>&amp;C&amp;G&amp;R&amp;P of &amp;N</oddFooter>
  </headerFooter>
  <rowBreaks count="1" manualBreakCount="1">
    <brk id="57" max="16383" man="1"/>
  </rowBreaks>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103"/>
  <sheetViews>
    <sheetView zoomScale="130" zoomScaleNormal="130" zoomScalePageLayoutView="130" workbookViewId="0">
      <selection activeCell="D17" sqref="D17"/>
    </sheetView>
  </sheetViews>
  <sheetFormatPr baseColWidth="10" defaultColWidth="8.6640625" defaultRowHeight="15" x14ac:dyDescent="0.2"/>
  <cols>
    <col min="1" max="1" width="11.5" style="94" customWidth="1"/>
    <col min="2" max="2" width="9.1640625" style="94" customWidth="1"/>
    <col min="3" max="3" width="8.6640625" style="94" customWidth="1"/>
    <col min="4" max="4" width="7.6640625" style="94" customWidth="1"/>
    <col min="5" max="5" width="86.1640625" style="94" customWidth="1"/>
    <col min="6" max="6" width="30.6640625" style="94" customWidth="1"/>
    <col min="7" max="7" width="4.6640625" style="391" customWidth="1"/>
    <col min="8" max="8" width="98.1640625" style="94" customWidth="1"/>
    <col min="9" max="9" width="9.1640625" style="94" customWidth="1"/>
    <col min="10" max="10" width="8.6640625" style="323"/>
    <col min="11" max="16384" width="8.6640625" style="94"/>
  </cols>
  <sheetData>
    <row r="1" spans="1:10" ht="19" x14ac:dyDescent="0.25">
      <c r="A1" s="1617" t="s">
        <v>801</v>
      </c>
      <c r="B1" s="1618"/>
      <c r="C1" s="1618"/>
      <c r="D1" s="1618"/>
      <c r="E1" s="1618"/>
      <c r="F1" s="1619"/>
      <c r="G1" s="732"/>
    </row>
    <row r="2" spans="1:10" ht="16" x14ac:dyDescent="0.2">
      <c r="A2" s="758" t="s">
        <v>222</v>
      </c>
      <c r="B2" s="759"/>
      <c r="C2" s="759"/>
      <c r="D2" s="759"/>
      <c r="E2" s="759"/>
      <c r="F2" s="689" t="str">
        <f>'1. Instructions'!B5</f>
        <v>Revised 4-5-2022</v>
      </c>
      <c r="G2" s="847"/>
    </row>
    <row r="3" spans="1:10" ht="32.25" customHeight="1" x14ac:dyDescent="0.2">
      <c r="A3" s="1220"/>
      <c r="B3" s="325" t="s">
        <v>765</v>
      </c>
      <c r="C3" s="325" t="s">
        <v>766</v>
      </c>
      <c r="D3" s="1590" t="s">
        <v>31</v>
      </c>
      <c r="E3" s="1676"/>
      <c r="F3" s="1677"/>
      <c r="G3" s="390"/>
      <c r="H3" s="520" t="s">
        <v>69</v>
      </c>
    </row>
    <row r="4" spans="1:10" ht="16" x14ac:dyDescent="0.2">
      <c r="A4" s="1855" t="s">
        <v>1215</v>
      </c>
      <c r="B4" s="1856"/>
      <c r="C4" s="1856"/>
      <c r="D4" s="1856"/>
      <c r="E4" s="1857"/>
      <c r="F4" s="326" t="s">
        <v>762</v>
      </c>
      <c r="H4" s="601" t="s">
        <v>342</v>
      </c>
      <c r="I4" s="1154" t="s">
        <v>23</v>
      </c>
      <c r="J4" s="537"/>
    </row>
    <row r="5" spans="1:10" hidden="1" x14ac:dyDescent="0.2">
      <c r="A5" s="338" t="s">
        <v>1154</v>
      </c>
      <c r="B5" s="1217"/>
      <c r="C5" s="341">
        <v>2</v>
      </c>
      <c r="D5" s="1697" t="s">
        <v>343</v>
      </c>
      <c r="E5" s="1699"/>
      <c r="F5" s="1224"/>
      <c r="H5" s="1155" t="str">
        <f>IF(B5=2,"Detailed plans of safe room","none")</f>
        <v>none</v>
      </c>
      <c r="I5" s="491">
        <f>IF(B5=3,"[  ]",0)</f>
        <v>0</v>
      </c>
      <c r="J5" s="336">
        <f t="shared" ref="J5:J14" si="0">IF(I5="[  ]","[  ]",1)</f>
        <v>1</v>
      </c>
    </row>
    <row r="6" spans="1:10" hidden="1" x14ac:dyDescent="0.2">
      <c r="A6" s="338" t="s">
        <v>1155</v>
      </c>
      <c r="B6" s="1217"/>
      <c r="C6" s="341">
        <v>2</v>
      </c>
      <c r="D6" s="1697" t="s">
        <v>436</v>
      </c>
      <c r="E6" s="1699"/>
      <c r="F6" s="1224"/>
      <c r="G6" s="392"/>
      <c r="H6" s="1155" t="str">
        <f>IF(B6=2,"Photos of attic","none")</f>
        <v>none</v>
      </c>
      <c r="I6" s="491">
        <f>IF(B6=2,"[  ]",0)</f>
        <v>0</v>
      </c>
      <c r="J6" s="336">
        <f t="shared" si="0"/>
        <v>1</v>
      </c>
    </row>
    <row r="7" spans="1:10" x14ac:dyDescent="0.2">
      <c r="A7" s="338" t="s">
        <v>1156</v>
      </c>
      <c r="B7" s="1217">
        <v>2</v>
      </c>
      <c r="C7" s="341">
        <v>2</v>
      </c>
      <c r="D7" s="1731" t="s">
        <v>457</v>
      </c>
      <c r="E7" s="1713"/>
      <c r="F7" s="1224" t="s">
        <v>1406</v>
      </c>
      <c r="G7" s="392"/>
      <c r="H7" s="1155" t="str">
        <f>IF(B7=2,"Photos of shutters or window cut sheets","none")</f>
        <v>Photos of shutters or window cut sheets</v>
      </c>
      <c r="I7" s="491" t="str">
        <f>IF(B7=2,"[  ]",0)</f>
        <v>[  ]</v>
      </c>
      <c r="J7" s="336" t="str">
        <f t="shared" si="0"/>
        <v>[  ]</v>
      </c>
    </row>
    <row r="8" spans="1:10" hidden="1" x14ac:dyDescent="0.2">
      <c r="A8" s="338" t="s">
        <v>1157</v>
      </c>
      <c r="B8" s="1217"/>
      <c r="C8" s="341">
        <v>1</v>
      </c>
      <c r="D8" s="1731" t="s">
        <v>519</v>
      </c>
      <c r="E8" s="1713"/>
      <c r="F8" s="1224"/>
      <c r="G8" s="392"/>
      <c r="H8" s="1155" t="str">
        <f>IF(B8=1,"Photos of shutters or door cut sheets","none")</f>
        <v>none</v>
      </c>
      <c r="I8" s="491">
        <f>IF(B8=1,"[  ]",0)</f>
        <v>0</v>
      </c>
      <c r="J8" s="336">
        <f t="shared" si="0"/>
        <v>1</v>
      </c>
    </row>
    <row r="9" spans="1:10" x14ac:dyDescent="0.2">
      <c r="A9" s="338" t="s">
        <v>1158</v>
      </c>
      <c r="B9" s="1217">
        <v>1</v>
      </c>
      <c r="C9" s="341">
        <v>1</v>
      </c>
      <c r="D9" s="1859" t="s">
        <v>569</v>
      </c>
      <c r="E9" s="1860"/>
      <c r="F9" s="1224"/>
      <c r="G9" s="392"/>
      <c r="H9" s="1155" t="str">
        <f>IF(B9=1,"Copy of certification for the specific anchored structures","none")</f>
        <v>Copy of certification for the specific anchored structures</v>
      </c>
      <c r="I9" s="491">
        <f>IF(B9=2,"[  ]",0)</f>
        <v>0</v>
      </c>
      <c r="J9" s="336">
        <f t="shared" si="0"/>
        <v>1</v>
      </c>
    </row>
    <row r="10" spans="1:10" hidden="1" x14ac:dyDescent="0.2">
      <c r="A10" s="338" t="s">
        <v>1159</v>
      </c>
      <c r="B10" s="1217"/>
      <c r="C10" s="341">
        <v>2</v>
      </c>
      <c r="D10" s="1731" t="s">
        <v>345</v>
      </c>
      <c r="E10" s="1713"/>
      <c r="F10" s="1224"/>
      <c r="G10" s="392"/>
      <c r="H10" s="1155" t="str">
        <f>IF(B10=2,"Photos or cut sheets for sealing materials used","none")</f>
        <v>none</v>
      </c>
      <c r="I10" s="491">
        <f>IF(B10=2,"[  ]",0)</f>
        <v>0</v>
      </c>
      <c r="J10" s="336">
        <f t="shared" si="0"/>
        <v>1</v>
      </c>
    </row>
    <row r="11" spans="1:10" hidden="1" x14ac:dyDescent="0.2">
      <c r="A11" s="338" t="s">
        <v>1160</v>
      </c>
      <c r="B11" s="1217"/>
      <c r="C11" s="341">
        <v>2</v>
      </c>
      <c r="D11" s="1731" t="s">
        <v>346</v>
      </c>
      <c r="E11" s="1713"/>
      <c r="F11" s="1224"/>
      <c r="G11" s="392"/>
      <c r="H11" s="1155" t="str">
        <f>IF(B11=2,"Photos or cut sheet of adhesive used","none")</f>
        <v>none</v>
      </c>
      <c r="I11" s="491">
        <f>IF(B11=2,"[  ]",0)</f>
        <v>0</v>
      </c>
      <c r="J11" s="336">
        <f t="shared" si="0"/>
        <v>1</v>
      </c>
    </row>
    <row r="12" spans="1:10" x14ac:dyDescent="0.2">
      <c r="A12" s="338" t="s">
        <v>1161</v>
      </c>
      <c r="B12" s="1217">
        <v>2</v>
      </c>
      <c r="C12" s="341">
        <v>2</v>
      </c>
      <c r="D12" s="1731" t="s">
        <v>1230</v>
      </c>
      <c r="E12" s="1878"/>
      <c r="F12" s="1224"/>
      <c r="G12" s="392"/>
      <c r="H12" s="1155"/>
      <c r="I12" s="493"/>
      <c r="J12" s="336"/>
    </row>
    <row r="13" spans="1:10" x14ac:dyDescent="0.2">
      <c r="A13" s="338" t="s">
        <v>1228</v>
      </c>
      <c r="B13" s="1217"/>
      <c r="C13" s="341">
        <v>2</v>
      </c>
      <c r="D13" s="1876" t="s">
        <v>1227</v>
      </c>
      <c r="E13" s="1877"/>
      <c r="F13" s="1224"/>
      <c r="G13" s="392"/>
      <c r="H13" s="1155"/>
      <c r="I13" s="493"/>
      <c r="J13" s="336"/>
    </row>
    <row r="14" spans="1:10" hidden="1" x14ac:dyDescent="0.2">
      <c r="A14" s="338" t="s">
        <v>1229</v>
      </c>
      <c r="B14" s="1217"/>
      <c r="C14" s="341">
        <v>5</v>
      </c>
      <c r="D14" s="1872" t="s">
        <v>757</v>
      </c>
      <c r="E14" s="1873"/>
      <c r="F14" s="1224"/>
      <c r="G14" s="392"/>
      <c r="H14" s="1158" t="str">
        <f>IF(B14=5,"Copy of certification","none")</f>
        <v>none</v>
      </c>
      <c r="I14" s="493">
        <f>IF(B14=5,"[  ]",0)</f>
        <v>0</v>
      </c>
      <c r="J14" s="336">
        <f t="shared" si="0"/>
        <v>1</v>
      </c>
    </row>
    <row r="15" spans="1:10" ht="10.5" customHeight="1" x14ac:dyDescent="0.2">
      <c r="A15" s="1829"/>
      <c r="B15" s="1715"/>
      <c r="C15" s="1715"/>
      <c r="D15" s="1715"/>
      <c r="E15" s="1715"/>
      <c r="F15" s="1858"/>
      <c r="G15" s="735"/>
      <c r="H15" s="547"/>
      <c r="I15" s="548"/>
      <c r="J15" s="336"/>
    </row>
    <row r="16" spans="1:10" ht="16" x14ac:dyDescent="0.2">
      <c r="A16" s="1855" t="s">
        <v>1216</v>
      </c>
      <c r="B16" s="1871"/>
      <c r="C16" s="1856"/>
      <c r="D16" s="1856"/>
      <c r="E16" s="1857"/>
      <c r="F16" s="326" t="s">
        <v>762</v>
      </c>
      <c r="G16" s="735"/>
      <c r="H16" s="602" t="s">
        <v>849</v>
      </c>
      <c r="I16" s="549"/>
      <c r="J16" s="336"/>
    </row>
    <row r="17" spans="1:10" x14ac:dyDescent="0.2">
      <c r="A17" s="338" t="s">
        <v>1168</v>
      </c>
      <c r="B17" s="294">
        <f>IF(AND(D17=G63,D18=G63,D19=G63),3,0)</f>
        <v>0</v>
      </c>
      <c r="C17" s="341">
        <v>3</v>
      </c>
      <c r="D17" s="1217"/>
      <c r="E17" s="1326" t="s">
        <v>349</v>
      </c>
      <c r="F17" s="1224"/>
      <c r="G17" s="390"/>
      <c r="H17" s="1155" t="str">
        <f>IF(B17=3,"FEMA flood zone information, foundation plans, landscape plans","none")</f>
        <v>none</v>
      </c>
      <c r="I17" s="536">
        <f>IF(B17=3,"[  ]",0)</f>
        <v>0</v>
      </c>
      <c r="J17" s="336">
        <f>IF(I17="[  ]","[  ]",1)</f>
        <v>1</v>
      </c>
    </row>
    <row r="18" spans="1:10" x14ac:dyDescent="0.2">
      <c r="A18" s="1524"/>
      <c r="B18" s="1525"/>
      <c r="C18" s="1526"/>
      <c r="D18" s="1217"/>
      <c r="E18" s="1326" t="s">
        <v>350</v>
      </c>
      <c r="F18" s="1224"/>
      <c r="G18" s="390"/>
      <c r="H18" s="1153"/>
    </row>
    <row r="19" spans="1:10" x14ac:dyDescent="0.2">
      <c r="A19" s="1528"/>
      <c r="B19" s="1529"/>
      <c r="C19" s="1530"/>
      <c r="D19" s="1217"/>
      <c r="E19" s="1327" t="s">
        <v>758</v>
      </c>
      <c r="F19" s="1224"/>
      <c r="G19" s="390"/>
      <c r="H19" s="1153"/>
    </row>
    <row r="20" spans="1:10" ht="10.5" customHeight="1" x14ac:dyDescent="0.2">
      <c r="A20" s="1829"/>
      <c r="B20" s="1715"/>
      <c r="C20" s="1715"/>
      <c r="D20" s="1715"/>
      <c r="E20" s="1715"/>
      <c r="F20" s="1858"/>
      <c r="H20" s="767"/>
      <c r="I20" s="1156"/>
    </row>
    <row r="21" spans="1:10" ht="16" hidden="1" x14ac:dyDescent="0.2">
      <c r="A21" s="1855" t="s">
        <v>1217</v>
      </c>
      <c r="B21" s="1871"/>
      <c r="C21" s="1856"/>
      <c r="D21" s="1856"/>
      <c r="E21" s="1857"/>
      <c r="F21" s="326" t="s">
        <v>762</v>
      </c>
      <c r="G21" s="1272"/>
      <c r="H21" s="593" t="s">
        <v>850</v>
      </c>
      <c r="I21" s="603"/>
      <c r="J21" s="336">
        <f>IF(I21="[  ]","[  ]",1)</f>
        <v>1</v>
      </c>
    </row>
    <row r="22" spans="1:10" hidden="1" x14ac:dyDescent="0.2">
      <c r="A22" s="338" t="s">
        <v>1162</v>
      </c>
      <c r="B22" s="294">
        <f>IF(AND(D22=G95,D23=G95,D24=G95),3,0)</f>
        <v>0</v>
      </c>
      <c r="C22" s="341">
        <v>3</v>
      </c>
      <c r="D22" s="1217"/>
      <c r="E22" s="1211" t="s">
        <v>352</v>
      </c>
      <c r="F22" s="1224"/>
      <c r="G22" s="390"/>
      <c r="H22" s="1155" t="str">
        <f>IF(B22=3,"Photo or material cut sheet","none")</f>
        <v>none</v>
      </c>
      <c r="I22" s="491">
        <f>IF(B23=3,"[  ]",0)</f>
        <v>0</v>
      </c>
    </row>
    <row r="23" spans="1:10" hidden="1" x14ac:dyDescent="0.2">
      <c r="A23" s="1524"/>
      <c r="B23" s="1525"/>
      <c r="C23" s="1526"/>
      <c r="D23" s="1217"/>
      <c r="E23" s="1211" t="s">
        <v>353</v>
      </c>
      <c r="F23" s="1224"/>
      <c r="G23" s="390"/>
      <c r="H23" s="1153"/>
    </row>
    <row r="24" spans="1:10" hidden="1" x14ac:dyDescent="0.2">
      <c r="A24" s="1528"/>
      <c r="B24" s="1529"/>
      <c r="C24" s="1530"/>
      <c r="D24" s="1217"/>
      <c r="E24" s="1211" t="s">
        <v>354</v>
      </c>
      <c r="F24" s="1224"/>
      <c r="G24" s="390"/>
      <c r="H24" s="1153"/>
    </row>
    <row r="25" spans="1:10" hidden="1" x14ac:dyDescent="0.2">
      <c r="A25" s="338" t="s">
        <v>1163</v>
      </c>
      <c r="B25" s="294">
        <f>IF(AND(D25=G95,D26=G98,D27=G98),3,0)</f>
        <v>0</v>
      </c>
      <c r="C25" s="341">
        <v>3</v>
      </c>
      <c r="D25" s="1217"/>
      <c r="E25" s="1221" t="s">
        <v>915</v>
      </c>
      <c r="F25" s="585"/>
      <c r="G25" s="390"/>
      <c r="H25" s="1158" t="str">
        <f>IF(B25=3,"Design plan and photo OR copy of signed permit","none")</f>
        <v>none</v>
      </c>
    </row>
    <row r="26" spans="1:10" ht="10.5" hidden="1" customHeight="1" x14ac:dyDescent="0.2">
      <c r="A26" s="1829"/>
      <c r="B26" s="1715"/>
      <c r="C26" s="1715"/>
      <c r="D26" s="1715"/>
      <c r="E26" s="1715"/>
      <c r="F26" s="1858"/>
      <c r="G26" s="488"/>
      <c r="H26" s="1153"/>
    </row>
    <row r="27" spans="1:10" ht="16" hidden="1" x14ac:dyDescent="0.2">
      <c r="A27" s="1855" t="s">
        <v>1218</v>
      </c>
      <c r="B27" s="1856"/>
      <c r="C27" s="1856"/>
      <c r="D27" s="1856"/>
      <c r="E27" s="1857"/>
      <c r="F27" s="326" t="s">
        <v>762</v>
      </c>
      <c r="G27" s="488"/>
      <c r="H27" s="604" t="s">
        <v>769</v>
      </c>
    </row>
    <row r="28" spans="1:10" hidden="1" x14ac:dyDescent="0.2">
      <c r="A28" s="338" t="s">
        <v>1169</v>
      </c>
      <c r="B28" s="1219"/>
      <c r="C28" s="494" t="s">
        <v>47</v>
      </c>
      <c r="D28" s="1874" t="s">
        <v>770</v>
      </c>
      <c r="E28" s="1875"/>
      <c r="F28" s="1224"/>
      <c r="G28" s="734"/>
      <c r="H28" s="1155" t="str">
        <f>IF(B28&lt;=2,"Photos or material cut sheets.","none")</f>
        <v>Photos or material cut sheets.</v>
      </c>
      <c r="I28" s="491">
        <f>IF(B28&gt;0,"[  ]",0)</f>
        <v>0</v>
      </c>
    </row>
    <row r="29" spans="1:10" ht="10.5" hidden="1" customHeight="1" x14ac:dyDescent="0.2">
      <c r="A29" s="1829"/>
      <c r="B29" s="1715"/>
      <c r="C29" s="1715"/>
      <c r="D29" s="1715"/>
      <c r="E29" s="1715"/>
      <c r="F29" s="1858"/>
      <c r="G29" s="736"/>
      <c r="H29" s="1153"/>
      <c r="I29" s="571"/>
      <c r="J29" s="605"/>
    </row>
    <row r="30" spans="1:10" ht="16" hidden="1" x14ac:dyDescent="0.2">
      <c r="A30" s="1855" t="s">
        <v>1219</v>
      </c>
      <c r="B30" s="1856"/>
      <c r="C30" s="1856"/>
      <c r="D30" s="1856"/>
      <c r="E30" s="1857"/>
      <c r="F30" s="326" t="s">
        <v>762</v>
      </c>
      <c r="G30" s="1270"/>
      <c r="H30" s="598" t="s">
        <v>851</v>
      </c>
      <c r="I30" s="1157"/>
      <c r="J30" s="336">
        <f>IF(I31="[  ]","[  ]",1)</f>
        <v>1</v>
      </c>
    </row>
    <row r="31" spans="1:10" ht="15" hidden="1" customHeight="1" x14ac:dyDescent="0.2">
      <c r="A31" s="1524"/>
      <c r="B31" s="1526"/>
      <c r="C31" s="550" t="s">
        <v>514</v>
      </c>
      <c r="D31" s="1159" t="str">
        <f>IF(SealSlabPene=1,"Yes","")</f>
        <v>Yes</v>
      </c>
      <c r="E31" s="1214" t="s">
        <v>1273</v>
      </c>
      <c r="F31" s="1224"/>
      <c r="G31" s="1271"/>
      <c r="H31" s="1158" t="str">
        <f>IF(B34&gt;0,"Details of foundation protection and/or detailed plans showing construction materials and materials list.","none")</f>
        <v>none</v>
      </c>
      <c r="I31" s="491">
        <f>IF(B34&gt;0,"[  ]",0)</f>
        <v>0</v>
      </c>
      <c r="J31" s="336"/>
    </row>
    <row r="32" spans="1:10" ht="15" hidden="1" customHeight="1" x14ac:dyDescent="0.2">
      <c r="A32" s="1496"/>
      <c r="B32" s="1527"/>
      <c r="C32" s="550" t="s">
        <v>514</v>
      </c>
      <c r="D32" s="1160" t="str">
        <f>IF(Plant2ft=1,"Yes","")</f>
        <v/>
      </c>
      <c r="E32" s="1214" t="s">
        <v>1274</v>
      </c>
      <c r="F32" s="1224"/>
      <c r="G32" s="1271"/>
      <c r="H32" s="551"/>
      <c r="I32" s="552"/>
      <c r="J32" s="336"/>
    </row>
    <row r="33" spans="1:10" ht="15" hidden="1" customHeight="1" x14ac:dyDescent="0.2">
      <c r="A33" s="1528"/>
      <c r="B33" s="1530"/>
      <c r="C33" s="550" t="s">
        <v>514</v>
      </c>
      <c r="D33" s="1160" t="str">
        <f>IF(Sprink2ft=1,"Yes",IF(NoSprinkSys=10,"Yes",""))</f>
        <v/>
      </c>
      <c r="E33" s="1214" t="s">
        <v>1275</v>
      </c>
      <c r="F33" s="1224"/>
      <c r="G33" s="1271"/>
      <c r="H33" s="551"/>
      <c r="I33" s="552"/>
      <c r="J33" s="336"/>
    </row>
    <row r="34" spans="1:10" hidden="1" x14ac:dyDescent="0.2">
      <c r="A34" s="338" t="s">
        <v>1164</v>
      </c>
      <c r="B34" s="280">
        <f>IF(AND(D31=G65,D32=G65,D33=G65),0,IF(AND(D31=G63,D32=G63,D33=G63,D46=G63),12,IF(AND(D31=G63,D32=G63,D33=G63,D35=G63,D36=G63,D37=G63,D38=G63,D39=G63),10,IF(AND(D31=G63,D32=G63,D33=G63,D42=G63,D43=G63),10,0))))</f>
        <v>0</v>
      </c>
      <c r="C34" s="341">
        <v>10</v>
      </c>
      <c r="D34" s="1866" t="s">
        <v>1220</v>
      </c>
      <c r="E34" s="1867"/>
      <c r="F34" s="1224"/>
      <c r="G34" s="1270"/>
      <c r="H34" s="1048"/>
    </row>
    <row r="35" spans="1:10" hidden="1" x14ac:dyDescent="0.2">
      <c r="A35" s="1524"/>
      <c r="B35" s="1525"/>
      <c r="C35" s="1526"/>
      <c r="D35" s="1217"/>
      <c r="E35" s="1221" t="s">
        <v>358</v>
      </c>
      <c r="F35" s="1224"/>
      <c r="G35" s="390"/>
      <c r="H35" s="1049"/>
    </row>
    <row r="36" spans="1:10" hidden="1" x14ac:dyDescent="0.2">
      <c r="A36" s="1496"/>
      <c r="B36" s="1365"/>
      <c r="C36" s="1527"/>
      <c r="D36" s="1217"/>
      <c r="E36" s="1074" t="s">
        <v>930</v>
      </c>
      <c r="F36" s="1224"/>
      <c r="G36" s="390"/>
    </row>
    <row r="37" spans="1:10" hidden="1" x14ac:dyDescent="0.2">
      <c r="A37" s="1496"/>
      <c r="B37" s="1365"/>
      <c r="C37" s="1527"/>
      <c r="D37" s="1217"/>
      <c r="E37" s="1221" t="s">
        <v>800</v>
      </c>
      <c r="F37" s="1224"/>
      <c r="G37" s="390"/>
      <c r="H37" s="1049"/>
    </row>
    <row r="38" spans="1:10" hidden="1" x14ac:dyDescent="0.2">
      <c r="A38" s="1496"/>
      <c r="B38" s="1365"/>
      <c r="C38" s="1527"/>
      <c r="D38" s="1217"/>
      <c r="E38" s="1221" t="s">
        <v>360</v>
      </c>
      <c r="F38" s="1224"/>
      <c r="G38" s="390"/>
      <c r="H38" s="1049"/>
    </row>
    <row r="39" spans="1:10" hidden="1" x14ac:dyDescent="0.2">
      <c r="A39" s="1868"/>
      <c r="B39" s="1869"/>
      <c r="C39" s="1870"/>
      <c r="D39" s="1217"/>
      <c r="E39" s="1221" t="s">
        <v>361</v>
      </c>
      <c r="F39" s="1224"/>
      <c r="G39" s="390"/>
    </row>
    <row r="40" spans="1:10" hidden="1" x14ac:dyDescent="0.2">
      <c r="A40" s="1216"/>
      <c r="B40" s="553" t="s">
        <v>365</v>
      </c>
      <c r="C40" s="554"/>
      <c r="D40" s="1861"/>
      <c r="E40" s="1862"/>
      <c r="F40" s="1224"/>
      <c r="G40" s="488"/>
    </row>
    <row r="41" spans="1:10" hidden="1" x14ac:dyDescent="0.2">
      <c r="A41" s="338" t="s">
        <v>1165</v>
      </c>
      <c r="B41" s="555"/>
      <c r="C41" s="341">
        <v>10</v>
      </c>
      <c r="D41" s="1866" t="s">
        <v>1221</v>
      </c>
      <c r="E41" s="1867"/>
      <c r="F41" s="1224"/>
      <c r="G41" s="1270"/>
    </row>
    <row r="42" spans="1:10" hidden="1" x14ac:dyDescent="0.2">
      <c r="A42" s="1838"/>
      <c r="B42" s="1863"/>
      <c r="C42" s="1830"/>
      <c r="D42" s="1217"/>
      <c r="E42" s="1056" t="s">
        <v>362</v>
      </c>
      <c r="F42" s="1224"/>
      <c r="G42" s="1272"/>
    </row>
    <row r="43" spans="1:10" hidden="1" x14ac:dyDescent="0.2">
      <c r="A43" s="1864"/>
      <c r="B43" s="1865"/>
      <c r="C43" s="1865"/>
      <c r="D43" s="1217"/>
      <c r="E43" s="1221" t="s">
        <v>461</v>
      </c>
      <c r="F43" s="1224"/>
      <c r="G43" s="390"/>
    </row>
    <row r="44" spans="1:10" s="97" customFormat="1" hidden="1" x14ac:dyDescent="0.2">
      <c r="A44" s="556"/>
      <c r="B44" s="553" t="s">
        <v>365</v>
      </c>
      <c r="C44" s="554"/>
      <c r="D44" s="1882"/>
      <c r="E44" s="1883"/>
      <c r="F44" s="1224"/>
      <c r="G44" s="1273"/>
      <c r="J44" s="498"/>
    </row>
    <row r="45" spans="1:10" s="97" customFormat="1" hidden="1" x14ac:dyDescent="0.2">
      <c r="A45" s="338" t="s">
        <v>1166</v>
      </c>
      <c r="B45" s="557"/>
      <c r="C45" s="343">
        <v>12</v>
      </c>
      <c r="D45" s="1880" t="s">
        <v>745</v>
      </c>
      <c r="E45" s="1881"/>
      <c r="F45" s="1224"/>
      <c r="G45" s="1274"/>
      <c r="J45" s="498"/>
    </row>
    <row r="46" spans="1:10" s="97" customFormat="1" hidden="1" x14ac:dyDescent="0.2">
      <c r="A46" s="1884"/>
      <c r="B46" s="1885"/>
      <c r="C46" s="1886"/>
      <c r="D46" s="1217"/>
      <c r="E46" s="1074" t="s">
        <v>503</v>
      </c>
      <c r="F46" s="1224"/>
      <c r="G46" s="734"/>
      <c r="J46" s="498"/>
    </row>
    <row r="47" spans="1:10" s="97" customFormat="1" hidden="1" x14ac:dyDescent="0.2">
      <c r="A47" s="338" t="s">
        <v>1167</v>
      </c>
      <c r="B47" s="1217"/>
      <c r="C47" s="341">
        <v>1</v>
      </c>
      <c r="D47" s="1590" t="s">
        <v>927</v>
      </c>
      <c r="E47" s="1591"/>
      <c r="F47" s="1212"/>
      <c r="G47" s="734"/>
      <c r="H47" s="1158" t="str">
        <f>IF(B56=1,"Photo of packaging or copy of invoice with cut sheet","none")</f>
        <v>none</v>
      </c>
      <c r="J47" s="498"/>
    </row>
    <row r="48" spans="1:10" s="97" customFormat="1" ht="10" hidden="1" customHeight="1" x14ac:dyDescent="0.2">
      <c r="A48" s="1276"/>
      <c r="B48" s="1210"/>
      <c r="C48" s="1209"/>
      <c r="D48" s="483"/>
      <c r="E48" s="1054"/>
      <c r="F48" s="875"/>
      <c r="G48" s="525"/>
    </row>
    <row r="49" spans="1:10" ht="16" hidden="1" x14ac:dyDescent="0.2">
      <c r="A49" s="1855" t="s">
        <v>1313</v>
      </c>
      <c r="B49" s="1871"/>
      <c r="C49" s="1856"/>
      <c r="D49" s="1856"/>
      <c r="E49" s="1857"/>
      <c r="F49" s="326" t="s">
        <v>762</v>
      </c>
      <c r="G49" s="1272"/>
      <c r="H49" s="593"/>
      <c r="I49" s="603"/>
      <c r="J49" s="336">
        <f>IF(I49="[  ]","[  ]",1)</f>
        <v>1</v>
      </c>
    </row>
    <row r="50" spans="1:10" hidden="1" x14ac:dyDescent="0.2">
      <c r="A50" s="338" t="s">
        <v>1232</v>
      </c>
      <c r="B50" s="1217"/>
      <c r="C50" s="341">
        <v>2</v>
      </c>
      <c r="D50" s="1874" t="s">
        <v>1244</v>
      </c>
      <c r="E50" s="1875"/>
      <c r="F50" s="1224"/>
      <c r="G50" s="390"/>
      <c r="H50" s="1155"/>
      <c r="I50" s="491"/>
    </row>
    <row r="51" spans="1:10" ht="61" hidden="1" customHeight="1" x14ac:dyDescent="0.2">
      <c r="A51" s="1232" t="s">
        <v>1314</v>
      </c>
      <c r="B51" s="278"/>
      <c r="C51" s="339" t="s">
        <v>1316</v>
      </c>
      <c r="D51" s="1887" t="s">
        <v>1319</v>
      </c>
      <c r="E51" s="1875"/>
      <c r="F51" s="585"/>
      <c r="G51" s="390"/>
      <c r="H51" s="1202"/>
      <c r="I51" s="552"/>
    </row>
    <row r="52" spans="1:10" hidden="1" x14ac:dyDescent="0.2">
      <c r="A52" s="338" t="s">
        <v>1317</v>
      </c>
      <c r="B52" s="1217"/>
      <c r="C52" s="341">
        <v>2</v>
      </c>
      <c r="D52" s="1874" t="s">
        <v>1318</v>
      </c>
      <c r="E52" s="1875"/>
      <c r="F52" s="585"/>
      <c r="G52" s="390"/>
      <c r="H52" s="1202"/>
      <c r="I52" s="552"/>
    </row>
    <row r="53" spans="1:10" ht="16" hidden="1" x14ac:dyDescent="0.2">
      <c r="A53" s="1855" t="s">
        <v>1320</v>
      </c>
      <c r="B53" s="1871"/>
      <c r="C53" s="1856"/>
      <c r="D53" s="1856"/>
      <c r="E53" s="1857"/>
      <c r="F53" s="326" t="s">
        <v>762</v>
      </c>
      <c r="G53" s="390"/>
      <c r="H53" s="1202"/>
      <c r="I53" s="552"/>
    </row>
    <row r="54" spans="1:10" hidden="1" x14ac:dyDescent="0.2">
      <c r="A54" s="338" t="s">
        <v>1321</v>
      </c>
      <c r="B54" s="1217"/>
      <c r="C54" s="341">
        <v>2</v>
      </c>
      <c r="D54" s="1874" t="s">
        <v>1322</v>
      </c>
      <c r="E54" s="1875"/>
      <c r="F54" s="1224"/>
      <c r="G54" s="390"/>
      <c r="H54" s="1202"/>
      <c r="I54" s="552"/>
    </row>
    <row r="55" spans="1:10" s="97" customFormat="1" ht="10" customHeight="1" x14ac:dyDescent="0.2">
      <c r="A55" s="1829"/>
      <c r="B55" s="1715"/>
      <c r="C55" s="1715"/>
      <c r="D55" s="1715"/>
      <c r="E55" s="1715"/>
      <c r="F55" s="1858"/>
      <c r="G55" s="734"/>
      <c r="J55" s="498"/>
    </row>
    <row r="56" spans="1:10" x14ac:dyDescent="0.2">
      <c r="A56" s="1864"/>
      <c r="B56" s="275">
        <f>ROUNDDOWN(SUM(B5:B17,B22,B25,B28,B34,B47,B50,B51,B52,B54),0)</f>
        <v>5</v>
      </c>
      <c r="C56" s="341">
        <v>47</v>
      </c>
      <c r="D56" s="344" t="s">
        <v>943</v>
      </c>
      <c r="E56" s="344"/>
      <c r="F56" s="1667"/>
    </row>
    <row r="57" spans="1:10" ht="7.5" customHeight="1" x14ac:dyDescent="0.2">
      <c r="A57" s="1725"/>
      <c r="B57" s="1735"/>
      <c r="C57" s="1715"/>
      <c r="D57" s="1715"/>
      <c r="E57" s="1716"/>
      <c r="F57" s="1668"/>
    </row>
    <row r="58" spans="1:10" ht="19" x14ac:dyDescent="0.25">
      <c r="A58" s="1879"/>
      <c r="B58" s="276">
        <f>IF(B56&gt;30,30,B56)</f>
        <v>5</v>
      </c>
      <c r="C58" s="1223" t="s">
        <v>363</v>
      </c>
      <c r="D58" s="1223"/>
      <c r="E58" s="1223"/>
      <c r="F58" s="1668"/>
      <c r="G58" s="1275"/>
    </row>
    <row r="59" spans="1:10" x14ac:dyDescent="0.2">
      <c r="A59" s="1714"/>
      <c r="B59" s="1735"/>
      <c r="C59" s="1715"/>
      <c r="D59" s="1715"/>
      <c r="E59" s="1716"/>
      <c r="F59" s="1668"/>
    </row>
    <row r="60" spans="1:10" ht="16" thickBot="1" x14ac:dyDescent="0.25">
      <c r="A60" s="1673" t="s">
        <v>364</v>
      </c>
      <c r="B60" s="1674"/>
      <c r="C60" s="1674"/>
      <c r="D60" s="1675"/>
      <c r="E60" s="1222"/>
      <c r="F60" s="1669"/>
      <c r="G60" s="484"/>
    </row>
    <row r="61" spans="1:10" x14ac:dyDescent="0.2">
      <c r="F61" s="97"/>
      <c r="G61" s="624"/>
      <c r="H61" s="97"/>
    </row>
    <row r="62" spans="1:10" x14ac:dyDescent="0.2">
      <c r="F62" s="885"/>
      <c r="G62" s="525"/>
      <c r="H62" s="885"/>
    </row>
    <row r="63" spans="1:10" x14ac:dyDescent="0.2">
      <c r="E63" s="391"/>
      <c r="F63" s="525"/>
      <c r="G63" s="514" t="s">
        <v>942</v>
      </c>
      <c r="H63" s="525"/>
    </row>
    <row r="64" spans="1:10" x14ac:dyDescent="0.2">
      <c r="E64" s="391"/>
      <c r="F64" s="525"/>
      <c r="G64" s="514"/>
      <c r="H64" s="525"/>
    </row>
    <row r="65" spans="5:8" x14ac:dyDescent="0.2">
      <c r="E65" s="391"/>
      <c r="F65" s="525" t="s">
        <v>7</v>
      </c>
      <c r="G65" s="514" t="s">
        <v>7</v>
      </c>
      <c r="H65" s="525"/>
    </row>
    <row r="66" spans="5:8" x14ac:dyDescent="0.2">
      <c r="E66" s="391"/>
      <c r="F66" s="525" t="s">
        <v>19</v>
      </c>
      <c r="G66" s="514" t="s">
        <v>18</v>
      </c>
      <c r="H66" s="525"/>
    </row>
    <row r="67" spans="5:8" x14ac:dyDescent="0.2">
      <c r="E67" s="391"/>
      <c r="F67" s="525"/>
      <c r="G67" s="514" t="s">
        <v>19</v>
      </c>
      <c r="H67" s="525"/>
    </row>
    <row r="68" spans="5:8" x14ac:dyDescent="0.2">
      <c r="E68" s="391"/>
      <c r="F68" s="525"/>
      <c r="G68" s="514" t="s">
        <v>7</v>
      </c>
      <c r="H68" s="525"/>
    </row>
    <row r="69" spans="5:8" x14ac:dyDescent="0.2">
      <c r="E69" s="391"/>
      <c r="F69" s="525"/>
      <c r="G69" s="514" t="s">
        <v>75</v>
      </c>
      <c r="H69" s="525"/>
    </row>
    <row r="70" spans="5:8" x14ac:dyDescent="0.2">
      <c r="F70" s="97"/>
      <c r="G70" s="514" t="s">
        <v>495</v>
      </c>
      <c r="H70" s="97"/>
    </row>
    <row r="71" spans="5:8" x14ac:dyDescent="0.2">
      <c r="F71" s="97"/>
      <c r="G71" s="514">
        <v>2</v>
      </c>
      <c r="H71" s="97"/>
    </row>
    <row r="72" spans="5:8" x14ac:dyDescent="0.2">
      <c r="F72" s="97"/>
      <c r="G72" s="514" t="s">
        <v>7</v>
      </c>
      <c r="H72" s="97"/>
    </row>
    <row r="73" spans="5:8" x14ac:dyDescent="0.2">
      <c r="F73" s="97"/>
      <c r="G73" s="514" t="s">
        <v>75</v>
      </c>
      <c r="H73" s="97"/>
    </row>
    <row r="74" spans="5:8" x14ac:dyDescent="0.2">
      <c r="F74" s="97"/>
      <c r="G74" s="514" t="s">
        <v>495</v>
      </c>
      <c r="H74" s="97"/>
    </row>
    <row r="75" spans="5:8" x14ac:dyDescent="0.2">
      <c r="F75" s="97"/>
      <c r="G75" s="514">
        <v>2</v>
      </c>
      <c r="H75" s="97"/>
    </row>
    <row r="76" spans="5:8" x14ac:dyDescent="0.2">
      <c r="F76" s="97"/>
      <c r="G76" s="525" t="s">
        <v>7</v>
      </c>
      <c r="H76" s="97"/>
    </row>
    <row r="77" spans="5:8" x14ac:dyDescent="0.2">
      <c r="F77" s="97"/>
      <c r="G77" s="514" t="s">
        <v>75</v>
      </c>
      <c r="H77" s="97"/>
    </row>
    <row r="78" spans="5:8" x14ac:dyDescent="0.2">
      <c r="F78" s="97"/>
      <c r="G78" s="514" t="s">
        <v>495</v>
      </c>
      <c r="H78" s="97"/>
    </row>
    <row r="79" spans="5:8" x14ac:dyDescent="0.2">
      <c r="F79" s="97"/>
      <c r="G79" s="514">
        <v>1</v>
      </c>
      <c r="H79" s="97"/>
    </row>
    <row r="80" spans="5:8" x14ac:dyDescent="0.2">
      <c r="F80" s="97"/>
      <c r="G80" s="525"/>
      <c r="H80" s="97"/>
    </row>
    <row r="81" spans="6:8" x14ac:dyDescent="0.2">
      <c r="F81" s="97"/>
      <c r="G81" s="525" t="s">
        <v>7</v>
      </c>
      <c r="H81" s="97"/>
    </row>
    <row r="82" spans="6:8" x14ac:dyDescent="0.2">
      <c r="F82" s="764"/>
      <c r="G82" s="779" t="s">
        <v>75</v>
      </c>
      <c r="H82" s="764"/>
    </row>
    <row r="83" spans="6:8" x14ac:dyDescent="0.2">
      <c r="F83" s="764"/>
      <c r="G83" s="779" t="s">
        <v>495</v>
      </c>
      <c r="H83" s="764"/>
    </row>
    <row r="84" spans="6:8" x14ac:dyDescent="0.2">
      <c r="F84" s="764"/>
      <c r="G84" s="779">
        <v>5</v>
      </c>
      <c r="H84" s="764"/>
    </row>
    <row r="85" spans="6:8" x14ac:dyDescent="0.2">
      <c r="F85" s="764"/>
      <c r="G85" s="484" t="s">
        <v>7</v>
      </c>
      <c r="H85" s="764"/>
    </row>
    <row r="86" spans="6:8" x14ac:dyDescent="0.2">
      <c r="F86" s="764"/>
      <c r="G86" s="779" t="s">
        <v>75</v>
      </c>
      <c r="H86" s="764"/>
    </row>
    <row r="87" spans="6:8" x14ac:dyDescent="0.2">
      <c r="F87" s="1156"/>
      <c r="G87" s="487" t="s">
        <v>495</v>
      </c>
      <c r="H87" s="1156"/>
    </row>
    <row r="88" spans="6:8" x14ac:dyDescent="0.2">
      <c r="G88" s="510">
        <v>1</v>
      </c>
    </row>
    <row r="89" spans="6:8" x14ac:dyDescent="0.2">
      <c r="G89" s="510">
        <v>2</v>
      </c>
    </row>
    <row r="90" spans="6:8" x14ac:dyDescent="0.2">
      <c r="G90" s="510"/>
    </row>
    <row r="91" spans="6:8" x14ac:dyDescent="0.2">
      <c r="G91" s="510" t="s">
        <v>75</v>
      </c>
    </row>
    <row r="92" spans="6:8" x14ac:dyDescent="0.2">
      <c r="G92" s="510" t="s">
        <v>495</v>
      </c>
    </row>
    <row r="93" spans="6:8" x14ac:dyDescent="0.2">
      <c r="G93" s="510" t="s">
        <v>7</v>
      </c>
    </row>
    <row r="94" spans="6:8" x14ac:dyDescent="0.2">
      <c r="G94" s="510" t="s">
        <v>19</v>
      </c>
    </row>
    <row r="95" spans="6:8" x14ac:dyDescent="0.2">
      <c r="G95" s="510" t="s">
        <v>18</v>
      </c>
    </row>
    <row r="98" spans="7:7" x14ac:dyDescent="0.2">
      <c r="G98" s="510"/>
    </row>
    <row r="99" spans="7:7" x14ac:dyDescent="0.2">
      <c r="G99" s="510" t="s">
        <v>1296</v>
      </c>
    </row>
    <row r="100" spans="7:7" x14ac:dyDescent="0.2">
      <c r="G100" s="510" t="s">
        <v>495</v>
      </c>
    </row>
    <row r="101" spans="7:7" x14ac:dyDescent="0.2">
      <c r="G101" s="510">
        <v>1</v>
      </c>
    </row>
    <row r="102" spans="7:7" x14ac:dyDescent="0.2">
      <c r="G102" s="510">
        <v>2</v>
      </c>
    </row>
    <row r="103" spans="7:7" x14ac:dyDescent="0.2">
      <c r="G103" s="510">
        <v>3</v>
      </c>
    </row>
  </sheetData>
  <sheetProtection algorithmName="SHA-512" hashValue="KsDC/qre89+e6J6tayp0npG3rOAK7yTqFWJF1A16aaRNxjqIfCswZeorWIy+7p4ItooFYZqbJExJkaTzZ3yjNg==" saltValue="DKjg7is0Aj6+B7Alpl+5iw==" spinCount="100000" sheet="1" insertHyperlinks="0" selectLockedCells="1"/>
  <dataConsolidate/>
  <mergeCells count="46">
    <mergeCell ref="A56:A59"/>
    <mergeCell ref="B59:E59"/>
    <mergeCell ref="B57:E57"/>
    <mergeCell ref="D41:E41"/>
    <mergeCell ref="D45:E45"/>
    <mergeCell ref="D44:E44"/>
    <mergeCell ref="A46:C46"/>
    <mergeCell ref="D47:E47"/>
    <mergeCell ref="A55:F55"/>
    <mergeCell ref="A49:E49"/>
    <mergeCell ref="D50:E50"/>
    <mergeCell ref="D51:E51"/>
    <mergeCell ref="D52:E52"/>
    <mergeCell ref="A53:E53"/>
    <mergeCell ref="D54:E54"/>
    <mergeCell ref="A1:F1"/>
    <mergeCell ref="A15:F15"/>
    <mergeCell ref="A30:E30"/>
    <mergeCell ref="A27:E27"/>
    <mergeCell ref="A21:E21"/>
    <mergeCell ref="D3:F3"/>
    <mergeCell ref="D14:E14"/>
    <mergeCell ref="A26:F26"/>
    <mergeCell ref="A29:F29"/>
    <mergeCell ref="A23:C24"/>
    <mergeCell ref="A18:C19"/>
    <mergeCell ref="D28:E28"/>
    <mergeCell ref="A16:E16"/>
    <mergeCell ref="D13:E13"/>
    <mergeCell ref="D12:E12"/>
    <mergeCell ref="A60:D60"/>
    <mergeCell ref="A4:E4"/>
    <mergeCell ref="A20:F20"/>
    <mergeCell ref="D6:E6"/>
    <mergeCell ref="D7:E7"/>
    <mergeCell ref="D9:E9"/>
    <mergeCell ref="D5:E5"/>
    <mergeCell ref="D8:E8"/>
    <mergeCell ref="D10:E10"/>
    <mergeCell ref="D11:E11"/>
    <mergeCell ref="F56:F60"/>
    <mergeCell ref="D40:E40"/>
    <mergeCell ref="A42:C43"/>
    <mergeCell ref="A31:B33"/>
    <mergeCell ref="D34:E34"/>
    <mergeCell ref="A35:C39"/>
  </mergeCells>
  <phoneticPr fontId="13" type="noConversion"/>
  <conditionalFormatting sqref="I5">
    <cfRule type="cellIs" dxfId="37" priority="3" stopIfTrue="1" operator="equal">
      <formula>$J$5</formula>
    </cfRule>
  </conditionalFormatting>
  <conditionalFormatting sqref="I6">
    <cfRule type="cellIs" dxfId="36" priority="4" stopIfTrue="1" operator="equal">
      <formula>$J$6</formula>
    </cfRule>
  </conditionalFormatting>
  <conditionalFormatting sqref="I7">
    <cfRule type="cellIs" dxfId="35" priority="5" stopIfTrue="1" operator="equal">
      <formula>$J$7</formula>
    </cfRule>
  </conditionalFormatting>
  <conditionalFormatting sqref="I8">
    <cfRule type="cellIs" dxfId="34" priority="6" stopIfTrue="1" operator="equal">
      <formula>$J$8</formula>
    </cfRule>
  </conditionalFormatting>
  <conditionalFormatting sqref="I9">
    <cfRule type="cellIs" dxfId="33" priority="7" stopIfTrue="1" operator="equal">
      <formula>$J$9</formula>
    </cfRule>
  </conditionalFormatting>
  <conditionalFormatting sqref="I10">
    <cfRule type="cellIs" dxfId="32" priority="8" stopIfTrue="1" operator="equal">
      <formula>$J$10</formula>
    </cfRule>
  </conditionalFormatting>
  <conditionalFormatting sqref="I11:I13">
    <cfRule type="cellIs" dxfId="31" priority="9" stopIfTrue="1" operator="equal">
      <formula>$J$11</formula>
    </cfRule>
  </conditionalFormatting>
  <conditionalFormatting sqref="I14">
    <cfRule type="cellIs" dxfId="30" priority="11" stopIfTrue="1" operator="equal">
      <formula>$J$14</formula>
    </cfRule>
  </conditionalFormatting>
  <conditionalFormatting sqref="I17">
    <cfRule type="cellIs" dxfId="29" priority="12" stopIfTrue="1" operator="equal">
      <formula>$J$17</formula>
    </cfRule>
  </conditionalFormatting>
  <conditionalFormatting sqref="I21:I22">
    <cfRule type="cellIs" dxfId="28" priority="13" stopIfTrue="1" operator="equal">
      <formula>$J$21</formula>
    </cfRule>
  </conditionalFormatting>
  <conditionalFormatting sqref="I31:I33 I28:I29">
    <cfRule type="cellIs" dxfId="27" priority="14" stopIfTrue="1" operator="equal">
      <formula>$J$30</formula>
    </cfRule>
  </conditionalFormatting>
  <conditionalFormatting sqref="I49:I54">
    <cfRule type="cellIs" dxfId="26" priority="1" stopIfTrue="1" operator="equal">
      <formula>$J$21</formula>
    </cfRule>
  </conditionalFormatting>
  <dataValidations count="7">
    <dataValidation type="list" allowBlank="1" showInputMessage="1" showErrorMessage="1" sqref="D42:D43 D22:D25 D17:D19 D35:D39 D46" xr:uid="{00000000-0002-0000-0E00-000000000000}">
      <formula1>$G$91:$G$95</formula1>
    </dataValidation>
    <dataValidation type="list" allowBlank="1" showInputMessage="1" showErrorMessage="1" sqref="B14" xr:uid="{00000000-0002-0000-0E00-000001000000}">
      <formula1>$G$81:$G$84</formula1>
    </dataValidation>
    <dataValidation type="list" allowBlank="1" showInputMessage="1" showErrorMessage="1" sqref="B5:B7 B54 B52 B50 B10:B13" xr:uid="{00000000-0002-0000-0E00-000002000000}">
      <formula1>$G$68:$G$71</formula1>
    </dataValidation>
    <dataValidation type="list" allowBlank="1" showInputMessage="1" showErrorMessage="1" sqref="B28" xr:uid="{00000000-0002-0000-0E00-000003000000}">
      <formula1>ddoneandtwo</formula1>
    </dataValidation>
    <dataValidation type="list" allowBlank="1" showInputMessage="1" showErrorMessage="1" sqref="D31:D33" xr:uid="{00000000-0002-0000-0E00-000004000000}">
      <formula1>$G$65:$G$67</formula1>
    </dataValidation>
    <dataValidation type="list" allowBlank="1" showInputMessage="1" showErrorMessage="1" sqref="B8:B9 B47" xr:uid="{00000000-0002-0000-0E00-000005000000}">
      <formula1>$G$76:$G$79</formula1>
    </dataValidation>
    <dataValidation type="list" allowBlank="1" showInputMessage="1" showErrorMessage="1" sqref="B51" xr:uid="{8D7FE2FD-665B-BE4B-A32F-4EC54DFD7AAC}">
      <formula1>$G$98:$G$103</formula1>
    </dataValidation>
  </dataValidations>
  <pageMargins left="0.2" right="0.2" top="0.25" bottom="1" header="0.3" footer="0.3"/>
  <pageSetup scale="87" fitToHeight="2" orientation="landscape" cellComments="asDisplayed" r:id="rId1"/>
  <headerFooter>
    <oddFooter>&amp;C&amp;G&amp;R&amp;P of &amp;N</oddFooter>
  </headerFooter>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33"/>
  <sheetViews>
    <sheetView zoomScale="130" zoomScaleNormal="130" zoomScalePageLayoutView="120" workbookViewId="0">
      <selection activeCell="A7" sqref="A7:F7"/>
    </sheetView>
  </sheetViews>
  <sheetFormatPr baseColWidth="10" defaultColWidth="8.6640625" defaultRowHeight="15" x14ac:dyDescent="0.2"/>
  <cols>
    <col min="1" max="1" width="5.6640625" style="94" customWidth="1"/>
    <col min="2" max="2" width="10.6640625" style="94" customWidth="1"/>
    <col min="3" max="3" width="10.5" style="94" customWidth="1"/>
    <col min="4" max="4" width="7.6640625" style="94" customWidth="1"/>
    <col min="5" max="5" width="75.6640625" style="94" customWidth="1"/>
    <col min="6" max="6" width="39.6640625" style="94" customWidth="1"/>
    <col min="7" max="8" width="7.6640625" style="94" hidden="1" customWidth="1"/>
    <col min="9" max="9" width="5" style="94" customWidth="1"/>
    <col min="10" max="10" width="77.33203125" style="94" customWidth="1"/>
    <col min="11" max="11" width="9.1640625" style="94" customWidth="1"/>
    <col min="12" max="12" width="25.6640625" style="323" customWidth="1"/>
    <col min="13" max="13" width="14.5" style="94" customWidth="1"/>
    <col min="14" max="16384" width="8.6640625" style="94"/>
  </cols>
  <sheetData>
    <row r="1" spans="1:12" ht="19" x14ac:dyDescent="0.25">
      <c r="A1" s="1617" t="s">
        <v>803</v>
      </c>
      <c r="B1" s="1618"/>
      <c r="C1" s="1618"/>
      <c r="D1" s="1618"/>
      <c r="E1" s="1618"/>
      <c r="F1" s="1619"/>
      <c r="G1" s="91"/>
      <c r="H1" s="91"/>
      <c r="I1" s="91"/>
    </row>
    <row r="2" spans="1:12" ht="16" x14ac:dyDescent="0.2">
      <c r="A2" s="656" t="s">
        <v>392</v>
      </c>
      <c r="B2" s="657"/>
      <c r="C2" s="657"/>
      <c r="D2" s="657"/>
      <c r="E2" s="657"/>
      <c r="F2" s="689" t="str">
        <f>'1. Instructions'!B5</f>
        <v>Revised 4-5-2022</v>
      </c>
      <c r="G2" s="313"/>
      <c r="H2" s="651"/>
      <c r="I2" s="651"/>
    </row>
    <row r="3" spans="1:12" ht="27" x14ac:dyDescent="0.2">
      <c r="A3" s="324"/>
      <c r="B3" s="325" t="s">
        <v>765</v>
      </c>
      <c r="C3" s="325" t="s">
        <v>766</v>
      </c>
      <c r="D3" s="1590" t="s">
        <v>31</v>
      </c>
      <c r="E3" s="1591"/>
      <c r="F3" s="559"/>
      <c r="J3" s="599" t="s">
        <v>69</v>
      </c>
    </row>
    <row r="4" spans="1:12" ht="16" x14ac:dyDescent="0.2">
      <c r="A4" s="1855" t="s">
        <v>1186</v>
      </c>
      <c r="B4" s="1871"/>
      <c r="C4" s="1856"/>
      <c r="D4" s="1856"/>
      <c r="E4" s="1857"/>
      <c r="F4" s="326" t="s">
        <v>762</v>
      </c>
      <c r="G4" s="186"/>
      <c r="H4" s="186"/>
      <c r="I4" s="186"/>
      <c r="J4" s="327" t="s">
        <v>366</v>
      </c>
      <c r="K4" s="333" t="s">
        <v>23</v>
      </c>
      <c r="L4" s="537"/>
    </row>
    <row r="5" spans="1:12" x14ac:dyDescent="0.2">
      <c r="A5" s="516" t="s">
        <v>1170</v>
      </c>
      <c r="B5" s="294">
        <f>IF(D6=0,0,IF(D6&lt;1000,25,0)+IF(AND(D6&gt;=1000,D6&lt;=1299),20,0)+IF(AND(D6&gt;=1300,D6&lt;=1599),15,0)+IF(AND(D6&gt;=1600,D6&lt;=1799),10,0)+IF(AND(D6&gt;=1800,D6&lt;=1899),5,0))</f>
        <v>0</v>
      </c>
      <c r="C5" s="341" t="s">
        <v>967</v>
      </c>
      <c r="D5" s="1727" t="s">
        <v>368</v>
      </c>
      <c r="E5" s="1729"/>
      <c r="F5" s="578"/>
      <c r="G5" s="497"/>
      <c r="H5" s="497"/>
      <c r="I5" s="497"/>
      <c r="J5" s="560" t="str">
        <f>IF(B5&gt;0,"Indication of home's square footage","none")</f>
        <v>none</v>
      </c>
      <c r="K5" s="493">
        <f>IF(B5&gt;0,"[  ]",0)</f>
        <v>0</v>
      </c>
      <c r="L5" s="336">
        <f>IF(K5="[  ]","[  ]",1)</f>
        <v>1</v>
      </c>
    </row>
    <row r="6" spans="1:12" x14ac:dyDescent="0.2">
      <c r="A6" s="324"/>
      <c r="B6" s="561"/>
      <c r="C6" s="341"/>
      <c r="D6" s="1151">
        <f>SqFt</f>
        <v>0</v>
      </c>
      <c r="E6" s="1326" t="s">
        <v>1272</v>
      </c>
      <c r="F6" s="578" t="s">
        <v>1433</v>
      </c>
      <c r="G6" s="150"/>
      <c r="H6" s="150"/>
      <c r="I6" s="150"/>
      <c r="J6" s="562"/>
      <c r="K6" s="548"/>
      <c r="L6" s="336"/>
    </row>
    <row r="7" spans="1:12" ht="10.5" customHeight="1" x14ac:dyDescent="0.2">
      <c r="A7" s="1829"/>
      <c r="B7" s="1715"/>
      <c r="C7" s="1715"/>
      <c r="D7" s="1715"/>
      <c r="E7" s="1715"/>
      <c r="F7" s="1858"/>
      <c r="G7" s="206"/>
      <c r="H7" s="206"/>
      <c r="I7" s="206"/>
      <c r="J7" s="59"/>
      <c r="K7" s="421"/>
      <c r="L7" s="336"/>
    </row>
    <row r="8" spans="1:12" ht="16" hidden="1" x14ac:dyDescent="0.2">
      <c r="A8" s="1855" t="s">
        <v>1187</v>
      </c>
      <c r="B8" s="1856"/>
      <c r="C8" s="1856"/>
      <c r="D8" s="1856"/>
      <c r="E8" s="1857"/>
      <c r="F8" s="326" t="s">
        <v>762</v>
      </c>
      <c r="J8" s="602" t="s">
        <v>370</v>
      </c>
      <c r="K8" s="549"/>
      <c r="L8" s="336"/>
    </row>
    <row r="9" spans="1:12" hidden="1" x14ac:dyDescent="0.2">
      <c r="A9" s="516" t="s">
        <v>1171</v>
      </c>
      <c r="B9" s="288"/>
      <c r="C9" s="341">
        <v>2</v>
      </c>
      <c r="D9" s="1730" t="s">
        <v>371</v>
      </c>
      <c r="E9" s="1837"/>
      <c r="F9" s="578"/>
      <c r="G9" s="199"/>
      <c r="H9" s="199"/>
      <c r="I9" s="199"/>
      <c r="J9" s="563" t="str">
        <f>IF(B9=2,"Photo or detailed plan","none")</f>
        <v>none</v>
      </c>
      <c r="K9" s="536">
        <f>IF(B9=2,"[  ]",0)</f>
        <v>0</v>
      </c>
      <c r="L9" s="336">
        <f>IF(K9="[  ]","[  ]",1)</f>
        <v>1</v>
      </c>
    </row>
    <row r="10" spans="1:12" hidden="1" x14ac:dyDescent="0.2">
      <c r="A10" s="516" t="s">
        <v>1172</v>
      </c>
      <c r="B10" s="288"/>
      <c r="C10" s="539" t="s">
        <v>47</v>
      </c>
      <c r="D10" s="1909" t="s">
        <v>822</v>
      </c>
      <c r="E10" s="1689"/>
      <c r="F10" s="578"/>
      <c r="G10" s="497"/>
      <c r="H10" s="497"/>
      <c r="I10" s="497"/>
      <c r="J10" s="349" t="str">
        <f>IF(OR(B10=1,B10=2),"Photo or detailed plan","none")</f>
        <v>none</v>
      </c>
      <c r="K10" s="491">
        <f>IF(B10=2,"[  ]",0)</f>
        <v>0</v>
      </c>
      <c r="L10" s="336">
        <f t="shared" ref="L10:L37" si="0">IF(K10="[  ]","[  ]",1)</f>
        <v>1</v>
      </c>
    </row>
    <row r="11" spans="1:12" hidden="1" x14ac:dyDescent="0.2">
      <c r="A11" s="516" t="s">
        <v>1173</v>
      </c>
      <c r="B11" s="288"/>
      <c r="C11" s="341">
        <v>1</v>
      </c>
      <c r="D11" s="1874" t="s">
        <v>506</v>
      </c>
      <c r="E11" s="1875"/>
      <c r="F11" s="578"/>
      <c r="G11" s="103"/>
      <c r="H11" s="103"/>
      <c r="I11" s="103"/>
      <c r="J11" s="560" t="str">
        <f>IF(B11=1,"Photo or detailed plan","none")</f>
        <v>none</v>
      </c>
      <c r="K11" s="493">
        <f>IF(B11=1,"[  ]",0)</f>
        <v>0</v>
      </c>
      <c r="L11" s="336">
        <f t="shared" si="0"/>
        <v>1</v>
      </c>
    </row>
    <row r="12" spans="1:12" hidden="1" x14ac:dyDescent="0.2">
      <c r="A12" s="516" t="s">
        <v>1323</v>
      </c>
      <c r="B12" s="1240"/>
      <c r="C12" s="341">
        <v>1</v>
      </c>
      <c r="D12" s="1910" t="s">
        <v>1327</v>
      </c>
      <c r="E12" s="1910"/>
      <c r="F12" s="585"/>
      <c r="G12" s="103"/>
      <c r="H12" s="103"/>
      <c r="I12" s="103"/>
      <c r="J12" s="1241"/>
      <c r="K12" s="571"/>
      <c r="L12" s="336"/>
    </row>
    <row r="13" spans="1:12" hidden="1" x14ac:dyDescent="0.2">
      <c r="A13" s="516" t="s">
        <v>1324</v>
      </c>
      <c r="B13" s="288"/>
      <c r="C13" s="341">
        <v>3</v>
      </c>
      <c r="D13" s="1910" t="s">
        <v>1328</v>
      </c>
      <c r="E13" s="1910"/>
      <c r="F13" s="585"/>
      <c r="G13" s="103"/>
      <c r="H13" s="103"/>
      <c r="I13" s="103"/>
      <c r="J13" s="1241"/>
      <c r="K13" s="571"/>
      <c r="L13" s="336"/>
    </row>
    <row r="14" spans="1:12" hidden="1" x14ac:dyDescent="0.2">
      <c r="A14" s="516" t="s">
        <v>1325</v>
      </c>
      <c r="B14" s="288"/>
      <c r="C14" s="341">
        <v>2</v>
      </c>
      <c r="D14" s="1910" t="s">
        <v>1329</v>
      </c>
      <c r="E14" s="1910"/>
      <c r="F14" s="585"/>
      <c r="G14" s="103"/>
      <c r="H14" s="103"/>
      <c r="I14" s="103"/>
      <c r="J14" s="1241"/>
      <c r="K14" s="571"/>
      <c r="L14" s="336"/>
    </row>
    <row r="15" spans="1:12" hidden="1" x14ac:dyDescent="0.2">
      <c r="A15" s="516" t="s">
        <v>1326</v>
      </c>
      <c r="B15" s="1240"/>
      <c r="C15" s="341" t="s">
        <v>1245</v>
      </c>
      <c r="D15" s="1910" t="s">
        <v>1330</v>
      </c>
      <c r="E15" s="1910"/>
      <c r="F15" s="585"/>
      <c r="G15" s="103"/>
      <c r="H15" s="103"/>
      <c r="I15" s="103"/>
      <c r="J15" s="1241"/>
      <c r="K15" s="571"/>
      <c r="L15" s="336"/>
    </row>
    <row r="16" spans="1:12" ht="10.5" hidden="1" customHeight="1" x14ac:dyDescent="0.2">
      <c r="A16" s="1829"/>
      <c r="B16" s="1715"/>
      <c r="C16" s="1715"/>
      <c r="D16" s="1715"/>
      <c r="E16" s="1715"/>
      <c r="F16" s="1858"/>
      <c r="G16" s="315"/>
      <c r="H16" s="652"/>
      <c r="I16" s="652"/>
      <c r="J16" s="562"/>
      <c r="K16" s="548"/>
      <c r="L16" s="336"/>
    </row>
    <row r="17" spans="1:14" ht="16" hidden="1" x14ac:dyDescent="0.2">
      <c r="A17" s="1906" t="s">
        <v>1188</v>
      </c>
      <c r="B17" s="1907"/>
      <c r="C17" s="1907"/>
      <c r="D17" s="1907"/>
      <c r="E17" s="1908"/>
      <c r="F17" s="326" t="s">
        <v>762</v>
      </c>
      <c r="J17" s="602" t="s">
        <v>373</v>
      </c>
      <c r="K17" s="549"/>
      <c r="L17" s="336"/>
    </row>
    <row r="18" spans="1:14" hidden="1" x14ac:dyDescent="0.2">
      <c r="A18" s="564" t="s">
        <v>1174</v>
      </c>
      <c r="B18" s="295">
        <f>IF(AND(D19="N/A"),0,0)+IF(AND(D19&gt;=2,D19&lt;4),1,0)+IF(AND(D19&gt;=4,D19&lt;6),2,0)+IF(AND(D19&gt;=6,D19&lt;8),3,0)+IF(AND(D19&gt;=8,D19&lt;10),4,0)+IF(AND(D19&gt;=10),5,0)</f>
        <v>0</v>
      </c>
      <c r="C18" s="565" t="s">
        <v>474</v>
      </c>
      <c r="D18" s="1889" t="s">
        <v>374</v>
      </c>
      <c r="E18" s="1890"/>
      <c r="F18" s="578"/>
      <c r="G18" s="159"/>
      <c r="H18" s="159"/>
      <c r="I18" s="159"/>
      <c r="J18" s="606" t="str">
        <f>IF(B18&gt;0,"Required - Spec sheet of system size and usage.","none")</f>
        <v>none</v>
      </c>
      <c r="K18" s="499">
        <f>IF(B18&gt;0,"[  ]",0)</f>
        <v>0</v>
      </c>
      <c r="L18" s="336">
        <f t="shared" si="0"/>
        <v>1</v>
      </c>
    </row>
    <row r="19" spans="1:14" hidden="1" x14ac:dyDescent="0.2">
      <c r="A19" s="1829"/>
      <c r="B19" s="1715"/>
      <c r="C19" s="1716"/>
      <c r="D19" s="320"/>
      <c r="E19" s="337" t="s">
        <v>825</v>
      </c>
      <c r="F19" s="578"/>
      <c r="G19" s="25"/>
      <c r="H19" s="25"/>
      <c r="I19" s="25"/>
      <c r="J19" s="566"/>
      <c r="K19" s="548"/>
      <c r="L19" s="336"/>
    </row>
    <row r="20" spans="1:14" ht="10.5" hidden="1" customHeight="1" x14ac:dyDescent="0.2">
      <c r="A20" s="1829"/>
      <c r="B20" s="1715"/>
      <c r="C20" s="1715"/>
      <c r="D20" s="1715"/>
      <c r="E20" s="1715"/>
      <c r="F20" s="1858"/>
      <c r="G20" s="567"/>
      <c r="H20" s="567"/>
      <c r="I20" s="567"/>
      <c r="J20" s="568"/>
      <c r="K20" s="421"/>
      <c r="L20" s="336"/>
    </row>
    <row r="21" spans="1:14" ht="16" hidden="1" x14ac:dyDescent="0.2">
      <c r="A21" s="1895" t="s">
        <v>1189</v>
      </c>
      <c r="B21" s="1897"/>
      <c r="C21" s="1897"/>
      <c r="D21" s="1897"/>
      <c r="E21" s="1898"/>
      <c r="F21" s="326" t="s">
        <v>762</v>
      </c>
      <c r="G21" s="426"/>
      <c r="H21" s="658"/>
      <c r="I21" s="658"/>
      <c r="J21" s="602" t="s">
        <v>375</v>
      </c>
      <c r="K21" s="549"/>
      <c r="L21" s="336"/>
    </row>
    <row r="22" spans="1:14" ht="16" hidden="1" x14ac:dyDescent="0.2">
      <c r="A22" s="516" t="s">
        <v>1175</v>
      </c>
      <c r="B22" s="291"/>
      <c r="C22" s="339">
        <v>10</v>
      </c>
      <c r="D22" s="1891" t="s">
        <v>910</v>
      </c>
      <c r="E22" s="1892"/>
      <c r="F22" s="578"/>
      <c r="G22" s="569"/>
      <c r="H22" s="569"/>
      <c r="I22" s="569"/>
      <c r="J22" s="570" t="str">
        <f>IF(B22=10,"Proof of age of home such as property appraiser report and signed HERS rating guide.","none")</f>
        <v>none</v>
      </c>
      <c r="K22" s="536">
        <f>IF(B22=10,"[  ]",0)</f>
        <v>0</v>
      </c>
      <c r="L22" s="336">
        <f t="shared" si="0"/>
        <v>1</v>
      </c>
    </row>
    <row r="23" spans="1:14" hidden="1" x14ac:dyDescent="0.2">
      <c r="A23" s="516" t="s">
        <v>1176</v>
      </c>
      <c r="B23" s="288"/>
      <c r="C23" s="341">
        <v>3</v>
      </c>
      <c r="D23" s="1730" t="s">
        <v>1249</v>
      </c>
      <c r="E23" s="1837"/>
      <c r="F23" s="618"/>
      <c r="G23" s="150"/>
      <c r="H23" s="150"/>
      <c r="I23" s="150"/>
      <c r="J23" s="349" t="str">
        <f>IF(B23=3,"Manufacturers specs","none")</f>
        <v>none</v>
      </c>
      <c r="K23" s="491">
        <f>IF(B23=3,"[  ]",0)</f>
        <v>0</v>
      </c>
      <c r="L23" s="336">
        <f t="shared" si="0"/>
        <v>1</v>
      </c>
    </row>
    <row r="24" spans="1:14" hidden="1" x14ac:dyDescent="0.2">
      <c r="A24" s="516" t="s">
        <v>1177</v>
      </c>
      <c r="B24" s="288"/>
      <c r="C24" s="341">
        <v>2</v>
      </c>
      <c r="D24" s="1730" t="s">
        <v>377</v>
      </c>
      <c r="E24" s="1699"/>
      <c r="F24" s="618"/>
      <c r="G24" s="150"/>
      <c r="H24" s="150"/>
      <c r="I24" s="150"/>
      <c r="J24" s="560" t="str">
        <f>IF(B24=2,"Manufacturer's specs","none")</f>
        <v>none</v>
      </c>
      <c r="K24" s="493">
        <f>IF(B24=2,"[  ]",0)</f>
        <v>0</v>
      </c>
      <c r="L24" s="336">
        <f t="shared" si="0"/>
        <v>1</v>
      </c>
    </row>
    <row r="25" spans="1:14" ht="15" hidden="1" customHeight="1" x14ac:dyDescent="0.2">
      <c r="A25" s="516" t="s">
        <v>1178</v>
      </c>
      <c r="B25" s="288"/>
      <c r="C25" s="492">
        <v>2</v>
      </c>
      <c r="D25" s="1911" t="s">
        <v>974</v>
      </c>
      <c r="E25" s="1912"/>
      <c r="F25" s="578"/>
      <c r="G25" s="482"/>
      <c r="H25" s="482"/>
      <c r="I25" s="482"/>
      <c r="J25" s="560" t="str">
        <f>IF(B25=2,"Manufacturer's specs","none")</f>
        <v>none</v>
      </c>
      <c r="K25" s="571"/>
      <c r="L25" s="336"/>
    </row>
    <row r="26" spans="1:14" hidden="1" x14ac:dyDescent="0.2">
      <c r="A26" s="516" t="s">
        <v>1179</v>
      </c>
      <c r="B26" s="288"/>
      <c r="C26" s="492">
        <v>2</v>
      </c>
      <c r="D26" s="1888" t="s">
        <v>975</v>
      </c>
      <c r="E26" s="1888"/>
      <c r="F26" s="585"/>
      <c r="G26" s="482"/>
      <c r="H26" s="482"/>
      <c r="I26" s="482"/>
      <c r="J26" s="560" t="s">
        <v>976</v>
      </c>
      <c r="K26" s="571"/>
      <c r="L26" s="336"/>
      <c r="M26" s="1888"/>
      <c r="N26" s="1888"/>
    </row>
    <row r="27" spans="1:14" ht="10.5" hidden="1" customHeight="1" x14ac:dyDescent="0.2">
      <c r="A27" s="1829"/>
      <c r="B27" s="1715"/>
      <c r="C27" s="1715"/>
      <c r="D27" s="1715"/>
      <c r="E27" s="1715"/>
      <c r="F27" s="1858"/>
      <c r="G27" s="315"/>
      <c r="H27" s="652"/>
      <c r="I27" s="652"/>
      <c r="J27" s="562"/>
      <c r="K27" s="548"/>
      <c r="L27" s="336"/>
    </row>
    <row r="28" spans="1:14" ht="16" x14ac:dyDescent="0.2">
      <c r="A28" s="1895" t="s">
        <v>1235</v>
      </c>
      <c r="B28" s="1896"/>
      <c r="C28" s="1897"/>
      <c r="D28" s="1897"/>
      <c r="E28" s="1898"/>
      <c r="F28" s="326" t="s">
        <v>762</v>
      </c>
      <c r="J28" s="602" t="s">
        <v>378</v>
      </c>
      <c r="K28" s="549"/>
      <c r="L28" s="336"/>
    </row>
    <row r="29" spans="1:14" x14ac:dyDescent="0.2">
      <c r="A29" s="516" t="s">
        <v>1185</v>
      </c>
      <c r="B29" s="294">
        <f>IF(AND(D30&gt;=1,D30&lt;2),1,0)+IF(D30&gt;=2,2,0)</f>
        <v>1</v>
      </c>
      <c r="C29" s="346" t="s">
        <v>47</v>
      </c>
      <c r="D29" s="1731" t="s">
        <v>379</v>
      </c>
      <c r="E29" s="1713"/>
      <c r="F29" s="578" t="s">
        <v>1421</v>
      </c>
      <c r="G29" s="199"/>
      <c r="H29" s="199"/>
      <c r="I29" s="199"/>
      <c r="J29" s="572" t="str">
        <f>IF(B29&gt;0,"Names of persons on the construction team that are FGBC members","none")</f>
        <v>Names of persons on the construction team that are FGBC members</v>
      </c>
      <c r="K29" s="499" t="str">
        <f>IF(B29&gt;0,"[  ]",0)</f>
        <v>[  ]</v>
      </c>
      <c r="L29" s="336" t="str">
        <f t="shared" si="0"/>
        <v>[  ]</v>
      </c>
    </row>
    <row r="30" spans="1:14" x14ac:dyDescent="0.2">
      <c r="A30" s="1829"/>
      <c r="B30" s="1715"/>
      <c r="C30" s="1716"/>
      <c r="D30" s="288">
        <v>1</v>
      </c>
      <c r="E30" s="1321" t="s">
        <v>380</v>
      </c>
      <c r="F30" s="578"/>
      <c r="G30" s="150"/>
      <c r="H30" s="150"/>
      <c r="I30" s="150"/>
      <c r="J30" s="142"/>
      <c r="K30" s="573"/>
      <c r="L30" s="336"/>
    </row>
    <row r="31" spans="1:14" x14ac:dyDescent="0.2">
      <c r="A31" s="516" t="s">
        <v>1180</v>
      </c>
      <c r="B31" s="288">
        <v>2</v>
      </c>
      <c r="C31" s="1031" t="s">
        <v>505</v>
      </c>
      <c r="D31" s="1904" t="s">
        <v>756</v>
      </c>
      <c r="E31" s="1905"/>
      <c r="F31" s="1318" t="s">
        <v>1422</v>
      </c>
      <c r="G31" s="543"/>
      <c r="H31" s="543"/>
      <c r="I31" s="543"/>
      <c r="J31" s="563" t="str">
        <f>IF(B31=2,"Copy of homeowners manual table of contents","none")</f>
        <v>Copy of homeowners manual table of contents</v>
      </c>
      <c r="K31" s="536" t="str">
        <f t="shared" ref="K31:K36" si="1">IF(B31=2,"[  ]",0)</f>
        <v>[  ]</v>
      </c>
      <c r="L31" s="336" t="str">
        <f t="shared" si="0"/>
        <v>[  ]</v>
      </c>
    </row>
    <row r="32" spans="1:14" ht="48" x14ac:dyDescent="0.2">
      <c r="A32" s="516" t="s">
        <v>1181</v>
      </c>
      <c r="B32" s="288">
        <v>2</v>
      </c>
      <c r="C32" s="1038">
        <v>2</v>
      </c>
      <c r="D32" s="1904" t="s">
        <v>1236</v>
      </c>
      <c r="E32" s="1905"/>
      <c r="F32" s="1318" t="s">
        <v>1423</v>
      </c>
      <c r="G32" s="543"/>
      <c r="H32" s="543"/>
      <c r="I32" s="543"/>
      <c r="J32" s="925" t="str">
        <f>IF(B32=2,"Location of training, point of contact for the homeowner (warantee, subcontractor, and vendor information if applicable), length of training and list of home features that are covered in the training. ","none")</f>
        <v xml:space="preserve">Location of training, point of contact for the homeowner (warantee, subcontractor, and vendor information if applicable), length of training and list of home features that are covered in the training. </v>
      </c>
      <c r="K32" s="491" t="str">
        <f t="shared" si="1"/>
        <v>[  ]</v>
      </c>
      <c r="L32" s="336" t="str">
        <f t="shared" si="0"/>
        <v>[  ]</v>
      </c>
    </row>
    <row r="33" spans="1:12" hidden="1" x14ac:dyDescent="0.2">
      <c r="A33" s="516" t="s">
        <v>1182</v>
      </c>
      <c r="B33" s="288"/>
      <c r="C33" s="574">
        <v>1</v>
      </c>
      <c r="D33" s="1687" t="s">
        <v>384</v>
      </c>
      <c r="E33" s="1689"/>
      <c r="F33" s="578"/>
      <c r="G33" s="497"/>
      <c r="H33" s="497"/>
      <c r="I33" s="497"/>
      <c r="J33" s="349" t="str">
        <f>IF(B33=1,"Landscaping plan,copy of handout","none")</f>
        <v>none</v>
      </c>
      <c r="K33" s="491">
        <f t="shared" si="1"/>
        <v>0</v>
      </c>
      <c r="L33" s="336">
        <f t="shared" si="0"/>
        <v>1</v>
      </c>
    </row>
    <row r="34" spans="1:12" hidden="1" x14ac:dyDescent="0.2">
      <c r="A34" s="516" t="s">
        <v>1183</v>
      </c>
      <c r="B34" s="288"/>
      <c r="C34" s="574">
        <v>2</v>
      </c>
      <c r="D34" s="1872" t="s">
        <v>385</v>
      </c>
      <c r="E34" s="1873"/>
      <c r="F34" s="1022"/>
      <c r="G34" s="497"/>
      <c r="H34" s="497"/>
      <c r="I34" s="497"/>
      <c r="J34" s="1056" t="str">
        <f>IF(B34=1,"Copy of written guaranteet","none")</f>
        <v>none</v>
      </c>
      <c r="K34" s="491">
        <f t="shared" si="1"/>
        <v>0</v>
      </c>
      <c r="L34" s="336"/>
    </row>
    <row r="35" spans="1:12" x14ac:dyDescent="0.2">
      <c r="A35" s="516" t="s">
        <v>1184</v>
      </c>
      <c r="B35" s="288"/>
      <c r="C35" s="341">
        <v>2</v>
      </c>
      <c r="D35" s="1872" t="s">
        <v>1239</v>
      </c>
      <c r="E35" s="1873"/>
      <c r="F35" s="578"/>
      <c r="G35" s="199"/>
      <c r="H35" s="199"/>
      <c r="I35" s="199"/>
      <c r="J35" s="349" t="str">
        <f>IF(B35=2,"Proof of FGBC Certification","none")</f>
        <v>none</v>
      </c>
      <c r="K35" s="491">
        <f t="shared" si="1"/>
        <v>0</v>
      </c>
      <c r="L35" s="336">
        <f t="shared" si="0"/>
        <v>1</v>
      </c>
    </row>
    <row r="36" spans="1:12" x14ac:dyDescent="0.2">
      <c r="A36" s="516" t="s">
        <v>1237</v>
      </c>
      <c r="B36" s="288"/>
      <c r="C36" s="341">
        <v>5</v>
      </c>
      <c r="D36" s="1913" t="s">
        <v>1240</v>
      </c>
      <c r="E36" s="1873"/>
      <c r="F36" s="1022"/>
      <c r="G36" s="199"/>
      <c r="H36" s="199"/>
      <c r="I36" s="199"/>
      <c r="J36" s="1020" t="str">
        <f>IF(B36=1,"Proof of Energy Star Home/Certificate","none")</f>
        <v>none</v>
      </c>
      <c r="K36" s="491">
        <f t="shared" si="1"/>
        <v>0</v>
      </c>
      <c r="L36" s="336"/>
    </row>
    <row r="37" spans="1:12" x14ac:dyDescent="0.2">
      <c r="A37" s="516" t="s">
        <v>1238</v>
      </c>
      <c r="B37" s="288"/>
      <c r="C37" s="490" t="s">
        <v>104</v>
      </c>
      <c r="D37" s="1872" t="s">
        <v>387</v>
      </c>
      <c r="E37" s="1873"/>
      <c r="F37" s="578"/>
      <c r="G37" s="464"/>
      <c r="H37" s="464"/>
      <c r="I37" s="464"/>
      <c r="J37" s="575" t="str">
        <f>IF(OR(B37=1,B37=2,B37=3,B37=4,B37=5),"Required - Completed Green Home Standard Modification Form for each innovative request.","none")</f>
        <v>none</v>
      </c>
      <c r="K37" s="491">
        <f>IF(OR(B37=1,B37=2,B37=3,B37=4,B37=5),"[  ]",0)</f>
        <v>0</v>
      </c>
      <c r="L37" s="336">
        <f t="shared" si="0"/>
        <v>1</v>
      </c>
    </row>
    <row r="38" spans="1:12" x14ac:dyDescent="0.2">
      <c r="A38" s="1718"/>
      <c r="B38" s="1719"/>
      <c r="C38" s="1720"/>
      <c r="D38" s="1697" t="s">
        <v>388</v>
      </c>
      <c r="E38" s="1699"/>
      <c r="F38" s="578"/>
      <c r="G38" s="306"/>
      <c r="H38" s="306"/>
      <c r="I38" s="306"/>
    </row>
    <row r="39" spans="1:12" x14ac:dyDescent="0.2">
      <c r="A39" s="1714"/>
      <c r="B39" s="1741"/>
      <c r="C39" s="1742"/>
      <c r="D39" s="1899"/>
      <c r="E39" s="1900"/>
      <c r="F39" s="578"/>
      <c r="G39" s="306"/>
      <c r="H39" s="306"/>
      <c r="I39" s="306"/>
      <c r="J39" s="898"/>
    </row>
    <row r="40" spans="1:12" x14ac:dyDescent="0.2">
      <c r="A40" s="1901"/>
      <c r="B40" s="275">
        <f>ROUNDDOWN(SUM(B18,B22:B26,B9:B15,B5,B29,B31:B37),0)</f>
        <v>5</v>
      </c>
      <c r="C40" s="341">
        <v>84</v>
      </c>
      <c r="D40" s="344" t="s">
        <v>1243</v>
      </c>
      <c r="E40" s="344"/>
      <c r="F40" s="1893"/>
      <c r="G40" s="424"/>
      <c r="H40" s="424"/>
      <c r="I40" s="424"/>
      <c r="L40" s="1040"/>
    </row>
    <row r="41" spans="1:12" ht="10.5" customHeight="1" x14ac:dyDescent="0.2">
      <c r="A41" s="1902"/>
      <c r="B41" s="1735"/>
      <c r="C41" s="1715"/>
      <c r="D41" s="1715"/>
      <c r="E41" s="1716"/>
      <c r="F41" s="1893"/>
      <c r="G41" s="97"/>
      <c r="H41" s="97"/>
      <c r="I41" s="97"/>
    </row>
    <row r="42" spans="1:12" ht="19" x14ac:dyDescent="0.25">
      <c r="A42" s="1903"/>
      <c r="B42" s="276">
        <f>IF(B40&gt;40,40,B40)</f>
        <v>5</v>
      </c>
      <c r="C42" s="558" t="s">
        <v>389</v>
      </c>
      <c r="D42" s="558"/>
      <c r="E42" s="558"/>
      <c r="F42" s="1893"/>
      <c r="G42" s="423"/>
      <c r="H42" s="423"/>
      <c r="I42" s="423"/>
      <c r="L42" s="462"/>
    </row>
    <row r="43" spans="1:12" ht="10.5" customHeight="1" x14ac:dyDescent="0.2">
      <c r="A43" s="1714"/>
      <c r="B43" s="1715"/>
      <c r="C43" s="1715"/>
      <c r="D43" s="1715"/>
      <c r="E43" s="1716"/>
      <c r="F43" s="1893"/>
      <c r="G43" s="97"/>
      <c r="H43" s="97"/>
      <c r="I43" s="97"/>
    </row>
    <row r="44" spans="1:12" ht="16" thickBot="1" x14ac:dyDescent="0.25">
      <c r="A44" s="1673" t="s">
        <v>390</v>
      </c>
      <c r="B44" s="1674"/>
      <c r="C44" s="1674"/>
      <c r="D44" s="1675"/>
      <c r="E44" s="321"/>
      <c r="F44" s="1894"/>
      <c r="G44" s="306"/>
      <c r="H44" s="306"/>
      <c r="I44" s="306"/>
      <c r="L44" s="462"/>
    </row>
    <row r="45" spans="1:12" x14ac:dyDescent="0.2">
      <c r="J45" s="1039"/>
    </row>
    <row r="46" spans="1:12" x14ac:dyDescent="0.2">
      <c r="G46" s="707" t="s">
        <v>7</v>
      </c>
      <c r="H46" s="707" t="s">
        <v>7</v>
      </c>
      <c r="I46" s="462"/>
      <c r="J46" s="462"/>
    </row>
    <row r="47" spans="1:12" x14ac:dyDescent="0.2">
      <c r="G47" s="707" t="s">
        <v>75</v>
      </c>
      <c r="H47" s="707" t="s">
        <v>75</v>
      </c>
      <c r="I47" s="462"/>
      <c r="J47" s="462"/>
    </row>
    <row r="48" spans="1:12" x14ac:dyDescent="0.2">
      <c r="G48" s="707" t="s">
        <v>495</v>
      </c>
      <c r="H48" s="707" t="s">
        <v>495</v>
      </c>
      <c r="I48" s="462"/>
      <c r="J48" s="462"/>
    </row>
    <row r="49" spans="6:10" x14ac:dyDescent="0.2">
      <c r="G49" s="707">
        <v>2</v>
      </c>
      <c r="H49" s="707">
        <v>5</v>
      </c>
      <c r="I49" s="462"/>
      <c r="J49" s="462"/>
    </row>
    <row r="50" spans="6:10" x14ac:dyDescent="0.2">
      <c r="G50" s="707" t="s">
        <v>7</v>
      </c>
      <c r="H50" s="462"/>
      <c r="I50" s="462"/>
      <c r="J50" s="462"/>
    </row>
    <row r="51" spans="6:10" x14ac:dyDescent="0.2">
      <c r="G51" s="707" t="s">
        <v>75</v>
      </c>
      <c r="H51" s="462"/>
      <c r="I51" s="462"/>
      <c r="J51" s="462"/>
    </row>
    <row r="52" spans="6:10" x14ac:dyDescent="0.2">
      <c r="G52" s="707" t="s">
        <v>495</v>
      </c>
      <c r="H52" s="1261"/>
      <c r="I52" s="462"/>
      <c r="J52" s="462"/>
    </row>
    <row r="53" spans="6:10" x14ac:dyDescent="0.2">
      <c r="G53" s="707">
        <v>10</v>
      </c>
      <c r="H53" s="1262" t="s">
        <v>7</v>
      </c>
      <c r="I53" s="462"/>
      <c r="J53" s="462"/>
    </row>
    <row r="54" spans="6:10" x14ac:dyDescent="0.2">
      <c r="G54" s="707" t="s">
        <v>7</v>
      </c>
      <c r="H54" s="1262" t="s">
        <v>75</v>
      </c>
      <c r="I54" s="462"/>
      <c r="J54" s="462"/>
    </row>
    <row r="55" spans="6:10" x14ac:dyDescent="0.2">
      <c r="G55" s="707" t="s">
        <v>75</v>
      </c>
      <c r="H55" s="1262" t="s">
        <v>495</v>
      </c>
      <c r="I55" s="462"/>
      <c r="J55" s="462"/>
    </row>
    <row r="56" spans="6:10" x14ac:dyDescent="0.2">
      <c r="G56" s="707" t="s">
        <v>495</v>
      </c>
      <c r="H56" s="1262">
        <v>2</v>
      </c>
      <c r="I56" s="462"/>
      <c r="J56" s="462"/>
    </row>
    <row r="57" spans="6:10" x14ac:dyDescent="0.2">
      <c r="F57" s="462"/>
      <c r="G57" s="707">
        <v>1</v>
      </c>
      <c r="H57" s="1263">
        <v>3</v>
      </c>
      <c r="I57" s="462"/>
      <c r="J57" s="462"/>
    </row>
    <row r="58" spans="6:10" x14ac:dyDescent="0.2">
      <c r="F58" s="462"/>
      <c r="G58" s="707" t="s">
        <v>7</v>
      </c>
      <c r="H58" s="462" t="s">
        <v>75</v>
      </c>
      <c r="I58" s="462"/>
      <c r="J58" s="462"/>
    </row>
    <row r="59" spans="6:10" x14ac:dyDescent="0.2">
      <c r="F59" s="462"/>
      <c r="G59" s="707" t="s">
        <v>75</v>
      </c>
      <c r="H59" s="462">
        <v>2</v>
      </c>
      <c r="I59" s="462"/>
      <c r="J59" s="462"/>
    </row>
    <row r="60" spans="6:10" x14ac:dyDescent="0.2">
      <c r="F60" s="462"/>
      <c r="G60" s="707" t="s">
        <v>495</v>
      </c>
      <c r="H60" s="462">
        <v>3</v>
      </c>
      <c r="I60" s="462"/>
      <c r="J60" s="462"/>
    </row>
    <row r="61" spans="6:10" x14ac:dyDescent="0.2">
      <c r="F61" s="462"/>
      <c r="G61" s="707">
        <v>3</v>
      </c>
      <c r="H61" s="462">
        <v>4</v>
      </c>
      <c r="I61" s="462"/>
      <c r="J61" s="462"/>
    </row>
    <row r="62" spans="6:10" x14ac:dyDescent="0.2">
      <c r="F62" s="462"/>
      <c r="G62" s="707" t="s">
        <v>7</v>
      </c>
      <c r="H62" s="462">
        <v>5</v>
      </c>
      <c r="I62" s="462"/>
      <c r="J62" s="462"/>
    </row>
    <row r="63" spans="6:10" x14ac:dyDescent="0.2">
      <c r="F63" s="462"/>
      <c r="G63" s="707" t="s">
        <v>75</v>
      </c>
      <c r="H63" s="462">
        <v>6</v>
      </c>
      <c r="I63" s="462"/>
      <c r="J63" s="462"/>
    </row>
    <row r="64" spans="6:10" x14ac:dyDescent="0.2">
      <c r="F64" s="462"/>
      <c r="G64" s="707" t="s">
        <v>495</v>
      </c>
      <c r="H64" s="462">
        <v>7</v>
      </c>
      <c r="I64" s="462"/>
      <c r="J64" s="462"/>
    </row>
    <row r="65" spans="6:10" x14ac:dyDescent="0.2">
      <c r="F65" s="462"/>
      <c r="G65" s="707">
        <v>1</v>
      </c>
      <c r="H65" s="462">
        <v>8</v>
      </c>
      <c r="I65" s="462"/>
      <c r="J65" s="462"/>
    </row>
    <row r="66" spans="6:10" x14ac:dyDescent="0.2">
      <c r="F66" s="462"/>
      <c r="G66" s="707">
        <v>2</v>
      </c>
      <c r="H66" s="462">
        <v>9</v>
      </c>
      <c r="I66" s="462"/>
      <c r="J66" s="462"/>
    </row>
    <row r="67" spans="6:10" x14ac:dyDescent="0.2">
      <c r="F67" s="462"/>
      <c r="G67" s="707">
        <v>3</v>
      </c>
      <c r="H67" s="462">
        <v>10</v>
      </c>
      <c r="I67" s="462"/>
      <c r="J67" s="462"/>
    </row>
    <row r="68" spans="6:10" x14ac:dyDescent="0.2">
      <c r="F68" s="462"/>
      <c r="G68" s="707">
        <v>4</v>
      </c>
      <c r="H68" s="462"/>
      <c r="I68" s="462"/>
      <c r="J68" s="462"/>
    </row>
    <row r="69" spans="6:10" x14ac:dyDescent="0.2">
      <c r="F69" s="462"/>
      <c r="G69" s="707">
        <v>5</v>
      </c>
      <c r="H69" s="462"/>
      <c r="I69" s="462"/>
      <c r="J69" s="462"/>
    </row>
    <row r="70" spans="6:10" x14ac:dyDescent="0.2">
      <c r="F70" s="462"/>
      <c r="G70" s="707"/>
      <c r="H70" s="708" t="s">
        <v>7</v>
      </c>
      <c r="I70" s="462"/>
      <c r="J70" s="462"/>
    </row>
    <row r="71" spans="6:10" x14ac:dyDescent="0.2">
      <c r="F71" s="462"/>
      <c r="G71" s="707"/>
      <c r="H71" s="708" t="s">
        <v>75</v>
      </c>
      <c r="I71" s="462"/>
      <c r="J71" s="462"/>
    </row>
    <row r="72" spans="6:10" x14ac:dyDescent="0.2">
      <c r="F72" s="462"/>
      <c r="G72" s="707" t="s">
        <v>75</v>
      </c>
      <c r="H72" s="708">
        <v>1</v>
      </c>
      <c r="I72" s="462"/>
      <c r="J72" s="462"/>
    </row>
    <row r="73" spans="6:10" x14ac:dyDescent="0.2">
      <c r="F73" s="462"/>
      <c r="G73" s="707" t="s">
        <v>495</v>
      </c>
      <c r="H73" s="708">
        <v>2</v>
      </c>
      <c r="I73" s="462"/>
      <c r="J73" s="462"/>
    </row>
    <row r="74" spans="6:10" x14ac:dyDescent="0.2">
      <c r="F74" s="462"/>
      <c r="G74" s="707">
        <v>2</v>
      </c>
      <c r="H74" s="708">
        <v>3</v>
      </c>
      <c r="I74" s="462"/>
      <c r="J74" s="462"/>
    </row>
    <row r="75" spans="6:10" x14ac:dyDescent="0.2">
      <c r="F75" s="462"/>
      <c r="G75" s="707"/>
      <c r="H75" s="462"/>
      <c r="I75" s="462"/>
      <c r="J75" s="462"/>
    </row>
    <row r="76" spans="6:10" x14ac:dyDescent="0.2">
      <c r="F76" s="707"/>
      <c r="G76" s="462"/>
      <c r="H76" s="462"/>
      <c r="I76" s="462"/>
      <c r="J76" s="462"/>
    </row>
    <row r="77" spans="6:10" x14ac:dyDescent="0.2">
      <c r="F77" s="707"/>
      <c r="G77" s="462"/>
      <c r="H77" s="462"/>
      <c r="I77" s="462"/>
      <c r="J77" s="462"/>
    </row>
    <row r="78" spans="6:10" x14ac:dyDescent="0.2">
      <c r="F78" s="707"/>
      <c r="G78" s="462"/>
      <c r="H78" s="462"/>
      <c r="I78" s="462"/>
      <c r="J78" s="462"/>
    </row>
    <row r="79" spans="6:10" x14ac:dyDescent="0.2">
      <c r="F79" s="707"/>
      <c r="G79" s="462"/>
      <c r="H79" s="462"/>
      <c r="I79" s="462"/>
      <c r="J79" s="462"/>
    </row>
    <row r="80" spans="6:10" x14ac:dyDescent="0.2">
      <c r="F80" s="707"/>
      <c r="G80" s="462"/>
      <c r="H80" s="462"/>
      <c r="I80" s="462"/>
      <c r="J80" s="462"/>
    </row>
    <row r="81" spans="6:10" x14ac:dyDescent="0.2">
      <c r="F81" s="707"/>
      <c r="G81" s="462"/>
      <c r="H81" s="462"/>
      <c r="I81" s="462"/>
      <c r="J81" s="462"/>
    </row>
    <row r="82" spans="6:10" x14ac:dyDescent="0.2">
      <c r="F82" s="462"/>
      <c r="G82" s="462"/>
      <c r="H82" s="462"/>
      <c r="I82" s="462"/>
      <c r="J82" s="462"/>
    </row>
    <row r="83" spans="6:10" x14ac:dyDescent="0.2">
      <c r="F83" s="462"/>
      <c r="G83" s="462"/>
      <c r="H83" s="462"/>
      <c r="I83" s="462"/>
      <c r="J83" s="462"/>
    </row>
    <row r="84" spans="6:10" x14ac:dyDescent="0.2">
      <c r="F84" s="462"/>
      <c r="G84" s="462"/>
      <c r="H84" s="462"/>
      <c r="I84" s="462"/>
      <c r="J84" s="462"/>
    </row>
    <row r="85" spans="6:10" x14ac:dyDescent="0.2">
      <c r="F85" s="462"/>
      <c r="G85" s="462"/>
      <c r="H85" s="462"/>
      <c r="I85" s="462"/>
      <c r="J85" s="462"/>
    </row>
    <row r="86" spans="6:10" x14ac:dyDescent="0.2">
      <c r="F86" s="462"/>
      <c r="G86" s="462"/>
      <c r="H86" s="462"/>
      <c r="I86" s="462"/>
      <c r="J86" s="462"/>
    </row>
    <row r="87" spans="6:10" x14ac:dyDescent="0.2">
      <c r="F87" s="462"/>
      <c r="G87" s="462"/>
      <c r="H87" s="462"/>
      <c r="I87" s="462"/>
      <c r="J87" s="462"/>
    </row>
    <row r="88" spans="6:10" x14ac:dyDescent="0.2">
      <c r="F88" s="462"/>
      <c r="G88" s="462"/>
      <c r="H88" s="462"/>
      <c r="I88" s="462"/>
      <c r="J88" s="462"/>
    </row>
    <row r="89" spans="6:10" x14ac:dyDescent="0.2">
      <c r="F89" s="462"/>
      <c r="G89" s="462"/>
      <c r="H89" s="462"/>
      <c r="I89" s="462"/>
      <c r="J89" s="462"/>
    </row>
    <row r="90" spans="6:10" x14ac:dyDescent="0.2">
      <c r="F90" s="462"/>
      <c r="G90" s="462"/>
      <c r="H90" s="462"/>
      <c r="I90" s="462"/>
      <c r="J90" s="462"/>
    </row>
    <row r="91" spans="6:10" x14ac:dyDescent="0.2">
      <c r="F91" s="462"/>
      <c r="G91" s="462"/>
      <c r="H91" s="462"/>
      <c r="I91" s="462"/>
      <c r="J91" s="462"/>
    </row>
    <row r="92" spans="6:10" x14ac:dyDescent="0.2">
      <c r="F92" s="462"/>
      <c r="G92" s="462"/>
      <c r="H92" s="462"/>
      <c r="I92" s="462"/>
      <c r="J92" s="462"/>
    </row>
    <row r="93" spans="6:10" x14ac:dyDescent="0.2">
      <c r="F93" s="462"/>
      <c r="G93" s="462"/>
      <c r="H93" s="462"/>
      <c r="I93" s="462"/>
      <c r="J93" s="462"/>
    </row>
    <row r="94" spans="6:10" x14ac:dyDescent="0.2">
      <c r="F94" s="462"/>
      <c r="G94" s="462"/>
      <c r="H94" s="462"/>
      <c r="I94" s="462"/>
      <c r="J94" s="462"/>
    </row>
    <row r="95" spans="6:10" x14ac:dyDescent="0.2">
      <c r="F95" s="462"/>
      <c r="G95" s="462"/>
      <c r="H95" s="462"/>
      <c r="I95" s="462"/>
      <c r="J95" s="462"/>
    </row>
    <row r="96" spans="6:10" x14ac:dyDescent="0.2">
      <c r="F96" s="462"/>
      <c r="G96" s="462"/>
      <c r="H96" s="462"/>
      <c r="I96" s="462"/>
      <c r="J96" s="462"/>
    </row>
    <row r="97" spans="6:10" x14ac:dyDescent="0.2">
      <c r="F97" s="462"/>
      <c r="G97" s="462"/>
      <c r="H97" s="462"/>
      <c r="I97" s="462"/>
      <c r="J97" s="462"/>
    </row>
    <row r="98" spans="6:10" x14ac:dyDescent="0.2">
      <c r="F98" s="462"/>
      <c r="G98" s="462"/>
      <c r="H98" s="462"/>
      <c r="I98" s="462"/>
      <c r="J98" s="462"/>
    </row>
    <row r="99" spans="6:10" x14ac:dyDescent="0.2">
      <c r="F99" s="462"/>
      <c r="G99" s="462"/>
      <c r="H99" s="462"/>
      <c r="I99" s="462"/>
      <c r="J99" s="462"/>
    </row>
    <row r="100" spans="6:10" x14ac:dyDescent="0.2">
      <c r="F100" s="462"/>
      <c r="G100" s="462"/>
      <c r="H100" s="462"/>
      <c r="I100" s="462"/>
      <c r="J100" s="462"/>
    </row>
    <row r="101" spans="6:10" x14ac:dyDescent="0.2">
      <c r="F101" s="462"/>
      <c r="G101" s="462"/>
      <c r="H101" s="462"/>
      <c r="I101" s="462"/>
      <c r="J101" s="462"/>
    </row>
    <row r="102" spans="6:10" x14ac:dyDescent="0.2">
      <c r="F102" s="462"/>
      <c r="G102" s="462"/>
      <c r="H102" s="462"/>
      <c r="I102" s="462"/>
      <c r="J102" s="462"/>
    </row>
    <row r="103" spans="6:10" x14ac:dyDescent="0.2">
      <c r="F103" s="462"/>
      <c r="G103" s="462"/>
      <c r="H103" s="462"/>
      <c r="I103" s="462"/>
      <c r="J103" s="462"/>
    </row>
    <row r="104" spans="6:10" x14ac:dyDescent="0.2">
      <c r="F104" s="462"/>
      <c r="G104" s="462"/>
      <c r="H104" s="462"/>
      <c r="I104" s="462"/>
      <c r="J104" s="462"/>
    </row>
    <row r="105" spans="6:10" x14ac:dyDescent="0.2">
      <c r="F105" s="462"/>
      <c r="G105" s="462"/>
      <c r="H105" s="462"/>
      <c r="I105" s="462"/>
      <c r="J105" s="462"/>
    </row>
    <row r="106" spans="6:10" x14ac:dyDescent="0.2">
      <c r="F106" s="462"/>
      <c r="G106" s="462"/>
      <c r="H106" s="462"/>
      <c r="I106" s="462"/>
      <c r="J106" s="462"/>
    </row>
    <row r="107" spans="6:10" x14ac:dyDescent="0.2">
      <c r="F107" s="462"/>
      <c r="G107" s="462"/>
      <c r="H107" s="462"/>
      <c r="I107" s="462"/>
      <c r="J107" s="462"/>
    </row>
    <row r="108" spans="6:10" x14ac:dyDescent="0.2">
      <c r="F108" s="462"/>
      <c r="G108" s="462"/>
      <c r="H108" s="462"/>
      <c r="I108" s="462"/>
      <c r="J108" s="462"/>
    </row>
    <row r="109" spans="6:10" x14ac:dyDescent="0.2">
      <c r="F109" s="462"/>
      <c r="G109" s="462"/>
      <c r="H109" s="462"/>
      <c r="I109" s="462"/>
      <c r="J109" s="462"/>
    </row>
    <row r="110" spans="6:10" x14ac:dyDescent="0.2">
      <c r="F110" s="462"/>
      <c r="G110" s="462"/>
      <c r="H110" s="462"/>
      <c r="I110" s="462"/>
      <c r="J110" s="462"/>
    </row>
    <row r="111" spans="6:10" x14ac:dyDescent="0.2">
      <c r="F111" s="462"/>
      <c r="G111" s="462"/>
      <c r="H111" s="462"/>
      <c r="I111" s="462"/>
      <c r="J111" s="462"/>
    </row>
    <row r="112" spans="6:10" x14ac:dyDescent="0.2">
      <c r="F112" s="462"/>
      <c r="G112" s="462"/>
      <c r="H112" s="462"/>
      <c r="I112" s="462"/>
      <c r="J112" s="462"/>
    </row>
    <row r="113" spans="6:10" x14ac:dyDescent="0.2">
      <c r="F113" s="462"/>
      <c r="G113" s="462"/>
      <c r="H113" s="462"/>
      <c r="I113" s="462"/>
      <c r="J113" s="462"/>
    </row>
    <row r="114" spans="6:10" x14ac:dyDescent="0.2">
      <c r="F114" s="462"/>
      <c r="G114" s="462"/>
      <c r="H114" s="462"/>
      <c r="I114" s="462"/>
      <c r="J114" s="462"/>
    </row>
    <row r="115" spans="6:10" x14ac:dyDescent="0.2">
      <c r="F115" s="462"/>
      <c r="G115" s="462"/>
      <c r="H115" s="462"/>
      <c r="I115" s="462"/>
      <c r="J115" s="462"/>
    </row>
    <row r="116" spans="6:10" x14ac:dyDescent="0.2">
      <c r="F116" s="462"/>
      <c r="G116" s="462"/>
      <c r="H116" s="462"/>
      <c r="I116" s="462"/>
      <c r="J116" s="462"/>
    </row>
    <row r="117" spans="6:10" x14ac:dyDescent="0.2">
      <c r="F117" s="462"/>
      <c r="G117" s="462"/>
      <c r="H117" s="462"/>
      <c r="I117" s="462"/>
      <c r="J117" s="462"/>
    </row>
    <row r="118" spans="6:10" x14ac:dyDescent="0.2">
      <c r="F118" s="462"/>
      <c r="G118" s="462"/>
      <c r="H118" s="462"/>
      <c r="I118" s="462"/>
      <c r="J118" s="462"/>
    </row>
    <row r="119" spans="6:10" x14ac:dyDescent="0.2">
      <c r="F119" s="462"/>
      <c r="G119" s="462"/>
      <c r="H119" s="462"/>
      <c r="I119" s="462"/>
      <c r="J119" s="462"/>
    </row>
    <row r="120" spans="6:10" x14ac:dyDescent="0.2">
      <c r="F120" s="462"/>
      <c r="G120" s="462"/>
      <c r="H120" s="462"/>
      <c r="I120" s="462"/>
      <c r="J120" s="462"/>
    </row>
    <row r="121" spans="6:10" x14ac:dyDescent="0.2">
      <c r="F121" s="462"/>
      <c r="G121" s="462"/>
      <c r="H121" s="462"/>
      <c r="I121" s="462"/>
      <c r="J121" s="462"/>
    </row>
    <row r="122" spans="6:10" x14ac:dyDescent="0.2">
      <c r="F122" s="462"/>
      <c r="G122" s="462"/>
      <c r="H122" s="462"/>
      <c r="I122" s="462"/>
      <c r="J122" s="462"/>
    </row>
    <row r="123" spans="6:10" x14ac:dyDescent="0.2">
      <c r="F123" s="462"/>
      <c r="G123" s="462"/>
      <c r="H123" s="462"/>
      <c r="I123" s="462"/>
      <c r="J123" s="462"/>
    </row>
    <row r="124" spans="6:10" x14ac:dyDescent="0.2">
      <c r="F124" s="462"/>
      <c r="G124" s="462"/>
      <c r="H124" s="462"/>
      <c r="I124" s="462"/>
      <c r="J124" s="462"/>
    </row>
    <row r="125" spans="6:10" x14ac:dyDescent="0.2">
      <c r="F125" s="462"/>
      <c r="G125" s="462"/>
      <c r="H125" s="462"/>
      <c r="I125" s="462"/>
      <c r="J125" s="462"/>
    </row>
    <row r="126" spans="6:10" x14ac:dyDescent="0.2">
      <c r="F126" s="462"/>
      <c r="G126" s="462"/>
      <c r="H126" s="462"/>
      <c r="I126" s="462"/>
      <c r="J126" s="462"/>
    </row>
    <row r="127" spans="6:10" x14ac:dyDescent="0.2">
      <c r="F127" s="462"/>
      <c r="G127" s="462"/>
      <c r="H127" s="462"/>
      <c r="I127" s="462"/>
      <c r="J127" s="462"/>
    </row>
    <row r="128" spans="6:10" x14ac:dyDescent="0.2">
      <c r="F128" s="462"/>
      <c r="G128" s="462"/>
      <c r="H128" s="462"/>
      <c r="I128" s="462"/>
      <c r="J128" s="462"/>
    </row>
    <row r="129" spans="6:10" x14ac:dyDescent="0.2">
      <c r="F129" s="462"/>
      <c r="G129" s="462"/>
      <c r="H129" s="462"/>
      <c r="I129" s="462"/>
      <c r="J129" s="462"/>
    </row>
    <row r="130" spans="6:10" x14ac:dyDescent="0.2">
      <c r="F130" s="462"/>
      <c r="G130" s="462"/>
      <c r="H130" s="462"/>
      <c r="I130" s="462"/>
      <c r="J130" s="462"/>
    </row>
    <row r="131" spans="6:10" x14ac:dyDescent="0.2">
      <c r="F131" s="462"/>
      <c r="G131" s="462"/>
      <c r="H131" s="462"/>
      <c r="I131" s="462"/>
      <c r="J131" s="462"/>
    </row>
    <row r="132" spans="6:10" x14ac:dyDescent="0.2">
      <c r="F132" s="462"/>
      <c r="G132" s="462"/>
      <c r="H132" s="462"/>
      <c r="I132" s="462"/>
      <c r="J132" s="462"/>
    </row>
    <row r="133" spans="6:10" x14ac:dyDescent="0.2">
      <c r="F133" s="462"/>
      <c r="G133" s="462"/>
      <c r="H133" s="462"/>
      <c r="I133" s="462"/>
      <c r="J133" s="462"/>
    </row>
  </sheetData>
  <sheetProtection algorithmName="SHA-512" hashValue="glLWqw3qkY3aO2XnbG95S8fFdwuXC8MT08tTuJXeD9zJ3Y9PPQ4h4YQrpK1cnpap++TQDYARsA28OSS+Y9Wwyg==" saltValue="JQ3DbvrDuvtHx1ulT4be7w==" spinCount="100000" sheet="1" insertHyperlinks="0" selectLockedCells="1"/>
  <mergeCells count="44">
    <mergeCell ref="A19:C19"/>
    <mergeCell ref="D25:E25"/>
    <mergeCell ref="A21:E21"/>
    <mergeCell ref="D36:E36"/>
    <mergeCell ref="D33:E33"/>
    <mergeCell ref="D26:E26"/>
    <mergeCell ref="A27:F27"/>
    <mergeCell ref="A20:F20"/>
    <mergeCell ref="A1:F1"/>
    <mergeCell ref="A4:E4"/>
    <mergeCell ref="A8:E8"/>
    <mergeCell ref="A17:E17"/>
    <mergeCell ref="D3:E3"/>
    <mergeCell ref="D5:E5"/>
    <mergeCell ref="A7:F7"/>
    <mergeCell ref="D9:E9"/>
    <mergeCell ref="D10:E10"/>
    <mergeCell ref="A16:F16"/>
    <mergeCell ref="D11:E11"/>
    <mergeCell ref="D12:E12"/>
    <mergeCell ref="D13:E13"/>
    <mergeCell ref="D14:E14"/>
    <mergeCell ref="D15:E15"/>
    <mergeCell ref="F40:F44"/>
    <mergeCell ref="A28:E28"/>
    <mergeCell ref="D39:E39"/>
    <mergeCell ref="A43:E43"/>
    <mergeCell ref="A44:D44"/>
    <mergeCell ref="D29:E29"/>
    <mergeCell ref="D37:E37"/>
    <mergeCell ref="B41:E41"/>
    <mergeCell ref="A40:A42"/>
    <mergeCell ref="A38:C39"/>
    <mergeCell ref="A30:C30"/>
    <mergeCell ref="D38:E38"/>
    <mergeCell ref="D31:E31"/>
    <mergeCell ref="D32:E32"/>
    <mergeCell ref="D35:E35"/>
    <mergeCell ref="D34:E34"/>
    <mergeCell ref="M26:N26"/>
    <mergeCell ref="D18:E18"/>
    <mergeCell ref="D22:E22"/>
    <mergeCell ref="D23:E23"/>
    <mergeCell ref="D24:E24"/>
  </mergeCells>
  <phoneticPr fontId="13" type="noConversion"/>
  <conditionalFormatting sqref="K5">
    <cfRule type="cellIs" dxfId="25" priority="3" stopIfTrue="1" operator="equal">
      <formula>$L$5</formula>
    </cfRule>
  </conditionalFormatting>
  <conditionalFormatting sqref="K9">
    <cfRule type="cellIs" dxfId="24" priority="4" stopIfTrue="1" operator="equal">
      <formula>$L$9</formula>
    </cfRule>
  </conditionalFormatting>
  <conditionalFormatting sqref="K10">
    <cfRule type="cellIs" dxfId="23" priority="5" stopIfTrue="1" operator="equal">
      <formula>$L$10</formula>
    </cfRule>
  </conditionalFormatting>
  <conditionalFormatting sqref="K11:K15">
    <cfRule type="cellIs" dxfId="22" priority="6" stopIfTrue="1" operator="equal">
      <formula>$L$11</formula>
    </cfRule>
  </conditionalFormatting>
  <conditionalFormatting sqref="K18">
    <cfRule type="cellIs" dxfId="21" priority="7" stopIfTrue="1" operator="equal">
      <formula>$L$18</formula>
    </cfRule>
  </conditionalFormatting>
  <conditionalFormatting sqref="K22">
    <cfRule type="cellIs" dxfId="20" priority="8" stopIfTrue="1" operator="equal">
      <formula>$L$22</formula>
    </cfRule>
  </conditionalFormatting>
  <conditionalFormatting sqref="K23">
    <cfRule type="cellIs" dxfId="19" priority="9" stopIfTrue="1" operator="equal">
      <formula>$L$23</formula>
    </cfRule>
  </conditionalFormatting>
  <conditionalFormatting sqref="K24:K26">
    <cfRule type="cellIs" dxfId="18" priority="10" stopIfTrue="1" operator="equal">
      <formula>$L$24</formula>
    </cfRule>
  </conditionalFormatting>
  <conditionalFormatting sqref="K29">
    <cfRule type="cellIs" dxfId="17" priority="11" stopIfTrue="1" operator="equal">
      <formula>$L$29</formula>
    </cfRule>
  </conditionalFormatting>
  <conditionalFormatting sqref="K31">
    <cfRule type="cellIs" dxfId="16" priority="12" stopIfTrue="1" operator="equal">
      <formula>$L$31</formula>
    </cfRule>
  </conditionalFormatting>
  <conditionalFormatting sqref="K32">
    <cfRule type="cellIs" dxfId="15" priority="14" stopIfTrue="1" operator="equal">
      <formula>$L$32</formula>
    </cfRule>
  </conditionalFormatting>
  <conditionalFormatting sqref="K33">
    <cfRule type="cellIs" dxfId="14" priority="15" stopIfTrue="1" operator="equal">
      <formula>$L$33</formula>
    </cfRule>
  </conditionalFormatting>
  <conditionalFormatting sqref="K35">
    <cfRule type="cellIs" dxfId="13" priority="16" stopIfTrue="1" operator="equal">
      <formula>$L$35</formula>
    </cfRule>
  </conditionalFormatting>
  <conditionalFormatting sqref="K37">
    <cfRule type="cellIs" dxfId="12" priority="18" stopIfTrue="1" operator="equal">
      <formula>$L$37</formula>
    </cfRule>
  </conditionalFormatting>
  <conditionalFormatting sqref="K34">
    <cfRule type="cellIs" dxfId="11" priority="2" stopIfTrue="1" operator="equal">
      <formula>$L$33</formula>
    </cfRule>
  </conditionalFormatting>
  <conditionalFormatting sqref="K36">
    <cfRule type="cellIs" dxfId="10" priority="1" stopIfTrue="1" operator="equal">
      <formula>$L$33</formula>
    </cfRule>
  </conditionalFormatting>
  <dataValidations count="8">
    <dataValidation type="list" allowBlank="1" showInputMessage="1" showErrorMessage="1" sqref="B37" xr:uid="{00000000-0002-0000-0F00-000000000000}">
      <formula1>$G$62:$G$69</formula1>
    </dataValidation>
    <dataValidation type="list" allowBlank="1" showInputMessage="1" showErrorMessage="1" sqref="B9 B24:B26 B31:B32 B34:B35 B14" xr:uid="{00000000-0002-0000-0F00-000001000000}">
      <formula1>$G$46:$G$49</formula1>
    </dataValidation>
    <dataValidation type="list" allowBlank="1" showInputMessage="1" showErrorMessage="1" sqref="B33 B11:B12" xr:uid="{00000000-0002-0000-0F00-000002000000}">
      <formula1>$G$54:$G$57</formula1>
    </dataValidation>
    <dataValidation type="list" allowBlank="1" showInputMessage="1" showErrorMessage="1" sqref="B22" xr:uid="{00000000-0002-0000-0F00-000003000000}">
      <formula1>$G$50:$G$53</formula1>
    </dataValidation>
    <dataValidation type="list" allowBlank="1" showInputMessage="1" showErrorMessage="1" sqref="B23 B13" xr:uid="{00000000-0002-0000-0F00-000004000000}">
      <formula1>$G$58:$G$61</formula1>
    </dataValidation>
    <dataValidation type="list" allowBlank="1" showInputMessage="1" showErrorMessage="1" sqref="B10" xr:uid="{00000000-0002-0000-0F00-000005000000}">
      <formula1>$G$62:$G$66</formula1>
    </dataValidation>
    <dataValidation type="list" allowBlank="1" showInputMessage="1" showErrorMessage="1" sqref="B36" xr:uid="{00000000-0002-0000-0F00-000006000000}">
      <formula1>$H$46:$H$49</formula1>
    </dataValidation>
    <dataValidation type="list" allowBlank="1" showInputMessage="1" showErrorMessage="1" sqref="B15" xr:uid="{EE80F95A-9603-964D-8954-384F6447E9B5}">
      <formula1>$H$52:$H$57</formula1>
    </dataValidation>
  </dataValidations>
  <printOptions horizontalCentered="1"/>
  <pageMargins left="0.2" right="0.2" top="0.25" bottom="1" header="0.3" footer="0.3"/>
  <pageSetup scale="92" orientation="landscape" cellComments="asDisplayed" r:id="rId1"/>
  <headerFooter>
    <oddFooter>&amp;C&amp;G&amp;R&amp;P of &amp;N</oddFooter>
  </headerFooter>
  <legacy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T102"/>
  <sheetViews>
    <sheetView topLeftCell="A35" zoomScale="120" zoomScaleNormal="120" zoomScaleSheetLayoutView="110" zoomScalePageLayoutView="120" workbookViewId="0">
      <selection activeCell="E23" sqref="E23"/>
    </sheetView>
  </sheetViews>
  <sheetFormatPr baseColWidth="10" defaultColWidth="8.6640625" defaultRowHeight="14" x14ac:dyDescent="0.15"/>
  <cols>
    <col min="1" max="1" width="12.6640625" style="367" customWidth="1"/>
    <col min="2" max="2" width="7.6640625" style="367" customWidth="1"/>
    <col min="3" max="3" width="41.6640625" style="367" customWidth="1"/>
    <col min="4" max="4" width="5.6640625" style="367" customWidth="1"/>
    <col min="5" max="5" width="15.1640625" style="367" customWidth="1"/>
    <col min="6" max="6" width="49.5" style="367" customWidth="1"/>
    <col min="7" max="7" width="8.6640625" style="367"/>
    <col min="8" max="8" width="9.1640625" style="367" customWidth="1"/>
    <col min="9" max="10" width="8.6640625" style="367"/>
    <col min="11" max="11" width="16.6640625" style="367" customWidth="1"/>
    <col min="12" max="16384" width="8.6640625" style="367"/>
  </cols>
  <sheetData>
    <row r="1" spans="1:15" s="365" customFormat="1" ht="24" customHeight="1" x14ac:dyDescent="0.35">
      <c r="A1" s="1413" t="s">
        <v>907</v>
      </c>
      <c r="B1" s="1414"/>
      <c r="C1" s="1414"/>
      <c r="D1" s="1414"/>
      <c r="E1" s="1414"/>
      <c r="F1" s="1415"/>
    </row>
    <row r="2" spans="1:15" s="365" customFormat="1" ht="24" customHeight="1" x14ac:dyDescent="0.35">
      <c r="A2" s="1431" t="str">
        <f>'1. Instructions'!B2</f>
        <v>Version 12 Rev 1.0</v>
      </c>
      <c r="B2" s="1432"/>
      <c r="C2" s="1432"/>
      <c r="D2" s="1432"/>
      <c r="E2" s="1432"/>
      <c r="F2" s="1433"/>
      <c r="G2" s="366"/>
      <c r="H2" s="366"/>
      <c r="I2" s="366"/>
      <c r="J2" s="366"/>
    </row>
    <row r="3" spans="1:15" s="365" customFormat="1" ht="24" customHeight="1" x14ac:dyDescent="0.35">
      <c r="A3" s="1416" t="s">
        <v>890</v>
      </c>
      <c r="B3" s="1417"/>
      <c r="C3" s="1417"/>
      <c r="D3" s="1417"/>
      <c r="E3" s="1417"/>
      <c r="F3" s="1418"/>
      <c r="G3" s="366"/>
      <c r="H3" s="366"/>
      <c r="I3" s="366"/>
      <c r="J3" s="366"/>
    </row>
    <row r="4" spans="1:15" x14ac:dyDescent="0.15">
      <c r="A4" s="1916" t="str">
        <f>'1. Instructions'!$B$4</f>
        <v>Effective January 1, 2021 (Required January 1, 2022)</v>
      </c>
      <c r="B4" s="1917"/>
      <c r="C4" s="1917"/>
      <c r="D4" s="1917"/>
      <c r="E4" s="1917"/>
      <c r="F4" s="1918"/>
    </row>
    <row r="5" spans="1:15" x14ac:dyDescent="0.15">
      <c r="A5" s="1919" t="str">
        <f>'1. Instructions'!$B$5</f>
        <v>Revised 4-5-2022</v>
      </c>
      <c r="B5" s="1920"/>
      <c r="C5" s="1920"/>
      <c r="D5" s="1920"/>
      <c r="E5" s="1920"/>
      <c r="F5" s="1921"/>
    </row>
    <row r="6" spans="1:15" x14ac:dyDescent="0.15">
      <c r="A6" s="892" t="s">
        <v>535</v>
      </c>
      <c r="B6" s="887"/>
      <c r="C6" s="888"/>
      <c r="D6" s="309"/>
      <c r="E6" s="310"/>
      <c r="F6" s="720"/>
      <c r="G6" s="368"/>
      <c r="I6" s="309"/>
      <c r="J6" s="309"/>
      <c r="K6" s="309"/>
      <c r="L6" s="309"/>
      <c r="M6" s="309"/>
      <c r="N6" s="309"/>
      <c r="O6" s="309"/>
    </row>
    <row r="7" spans="1:15" x14ac:dyDescent="0.15">
      <c r="A7" s="695" t="s">
        <v>536</v>
      </c>
      <c r="B7" s="685"/>
      <c r="C7" s="686"/>
      <c r="D7" s="309"/>
      <c r="E7" s="310"/>
      <c r="F7" s="720"/>
      <c r="G7" s="368"/>
      <c r="I7" s="309"/>
      <c r="J7" s="309"/>
      <c r="K7" s="309"/>
      <c r="L7" s="309"/>
      <c r="M7" s="309"/>
      <c r="N7" s="309"/>
      <c r="O7" s="309"/>
    </row>
    <row r="8" spans="1:15" x14ac:dyDescent="0.15">
      <c r="A8" s="719" t="s">
        <v>908</v>
      </c>
      <c r="B8" s="308"/>
      <c r="C8" s="309"/>
      <c r="D8" s="309"/>
      <c r="E8" s="310"/>
      <c r="F8" s="720"/>
      <c r="G8" s="368"/>
      <c r="I8" s="309"/>
      <c r="J8" s="309"/>
      <c r="K8" s="309"/>
      <c r="L8" s="309"/>
      <c r="M8" s="309"/>
      <c r="N8" s="309"/>
      <c r="O8" s="309"/>
    </row>
    <row r="9" spans="1:15" x14ac:dyDescent="0.15">
      <c r="A9" s="719" t="s">
        <v>551</v>
      </c>
      <c r="B9" s="308"/>
      <c r="C9" s="309"/>
      <c r="D9" s="309"/>
      <c r="E9" s="310"/>
      <c r="F9" s="720"/>
      <c r="G9" s="368"/>
      <c r="I9" s="309"/>
      <c r="J9" s="309"/>
      <c r="K9" s="309"/>
      <c r="L9" s="309"/>
      <c r="M9" s="309"/>
      <c r="N9" s="309"/>
      <c r="O9" s="309"/>
    </row>
    <row r="10" spans="1:15" ht="30.75" customHeight="1" x14ac:dyDescent="0.15">
      <c r="A10" s="1428" t="str">
        <f>'1. Instructions'!A41:B41</f>
        <v xml:space="preserve">        (Note: Payment by check is acceptable - see mailing instructions below)</v>
      </c>
      <c r="B10" s="1429"/>
      <c r="C10" s="1429"/>
      <c r="D10" s="1429"/>
      <c r="E10" s="1429"/>
      <c r="F10" s="1430"/>
      <c r="G10" s="368"/>
      <c r="I10" s="309"/>
      <c r="J10" s="309"/>
      <c r="K10" s="309"/>
      <c r="L10" s="309"/>
      <c r="M10" s="309"/>
      <c r="N10" s="309"/>
      <c r="O10" s="309"/>
    </row>
    <row r="11" spans="1:15" ht="19.5" customHeight="1" x14ac:dyDescent="0.2">
      <c r="A11" s="1425" t="s">
        <v>957</v>
      </c>
      <c r="B11" s="1426"/>
      <c r="C11" s="1426"/>
      <c r="D11" s="1426"/>
      <c r="E11" s="1426"/>
      <c r="F11" s="1427"/>
      <c r="G11" s="368"/>
      <c r="I11" s="309"/>
      <c r="J11" s="309"/>
      <c r="K11" s="309"/>
      <c r="L11" s="309"/>
      <c r="M11" s="309"/>
      <c r="N11" s="309"/>
      <c r="O11" s="309"/>
    </row>
    <row r="12" spans="1:15" ht="15" x14ac:dyDescent="0.2">
      <c r="A12" s="957"/>
      <c r="B12" s="958"/>
      <c r="C12" s="958"/>
      <c r="D12" s="958"/>
      <c r="E12" s="958"/>
      <c r="F12" s="959"/>
      <c r="G12" s="368"/>
      <c r="I12" s="309"/>
      <c r="J12" s="309"/>
      <c r="K12" s="309"/>
      <c r="L12" s="309"/>
      <c r="M12" s="309"/>
      <c r="N12" s="309"/>
      <c r="O12" s="309"/>
    </row>
    <row r="13" spans="1:15" ht="10.5" customHeight="1" x14ac:dyDescent="0.15">
      <c r="A13" s="695" t="s">
        <v>537</v>
      </c>
      <c r="B13" s="308"/>
      <c r="C13" s="309"/>
      <c r="D13" s="309"/>
      <c r="E13" s="310"/>
      <c r="F13" s="696"/>
      <c r="I13" s="309"/>
      <c r="J13" s="309"/>
      <c r="K13" s="309"/>
      <c r="L13" s="309"/>
      <c r="M13" s="309"/>
      <c r="N13" s="309"/>
      <c r="O13" s="309"/>
    </row>
    <row r="14" spans="1:15" x14ac:dyDescent="0.15">
      <c r="A14" s="719" t="s">
        <v>552</v>
      </c>
      <c r="B14" s="308"/>
      <c r="C14" s="309"/>
      <c r="D14" s="309"/>
      <c r="E14" s="310"/>
      <c r="F14" s="720"/>
      <c r="K14" s="1332"/>
      <c r="L14" s="1332"/>
      <c r="M14" s="1332"/>
    </row>
    <row r="15" spans="1:15" x14ac:dyDescent="0.15">
      <c r="A15" s="719" t="s">
        <v>905</v>
      </c>
      <c r="B15" s="308"/>
      <c r="C15" s="309"/>
      <c r="D15" s="309"/>
      <c r="E15" s="310"/>
      <c r="F15" s="720"/>
      <c r="K15" s="914"/>
      <c r="L15" s="914"/>
      <c r="M15" s="914"/>
    </row>
    <row r="16" spans="1:15" ht="15" customHeight="1" x14ac:dyDescent="0.15">
      <c r="A16" s="719"/>
      <c r="B16" s="1163" t="s">
        <v>1025</v>
      </c>
      <c r="C16" s="309"/>
      <c r="D16" s="309"/>
      <c r="E16" s="309"/>
      <c r="F16" s="696"/>
      <c r="K16" s="914"/>
      <c r="L16" s="914"/>
      <c r="M16" s="914"/>
    </row>
    <row r="17" spans="1:13" ht="15" customHeight="1" x14ac:dyDescent="0.15">
      <c r="A17" s="719"/>
      <c r="B17" s="1922" t="s">
        <v>1024</v>
      </c>
      <c r="C17" s="1922"/>
      <c r="D17" s="309"/>
      <c r="E17" s="309"/>
      <c r="F17" s="696"/>
      <c r="K17" s="914"/>
      <c r="L17" s="914"/>
      <c r="M17" s="914"/>
    </row>
    <row r="18" spans="1:13" ht="15" customHeight="1" x14ac:dyDescent="0.15">
      <c r="A18" s="719"/>
      <c r="B18" s="1922" t="s">
        <v>1276</v>
      </c>
      <c r="C18" s="1922"/>
      <c r="D18" s="309"/>
      <c r="E18" s="309"/>
      <c r="F18" s="696"/>
      <c r="K18" s="914"/>
      <c r="L18" s="914"/>
      <c r="M18" s="914"/>
    </row>
    <row r="19" spans="1:13" x14ac:dyDescent="0.15">
      <c r="A19" s="960" t="s">
        <v>874</v>
      </c>
      <c r="B19" s="309"/>
      <c r="C19" s="309"/>
      <c r="D19" s="311"/>
      <c r="E19" s="723" t="s">
        <v>900</v>
      </c>
      <c r="F19" s="696"/>
    </row>
    <row r="20" spans="1:13" ht="19.5" customHeight="1" x14ac:dyDescent="0.15">
      <c r="A20" s="944" t="s">
        <v>877</v>
      </c>
      <c r="B20" s="684"/>
      <c r="C20" s="684"/>
      <c r="D20" s="311"/>
      <c r="E20" s="889"/>
      <c r="F20" s="696" t="s">
        <v>904</v>
      </c>
      <c r="G20" s="309"/>
    </row>
    <row r="21" spans="1:13" ht="14.25" customHeight="1" x14ac:dyDescent="0.15">
      <c r="A21" s="961" t="s">
        <v>875</v>
      </c>
      <c r="B21" s="613" t="s">
        <v>870</v>
      </c>
      <c r="C21" s="309"/>
      <c r="D21" s="311"/>
      <c r="E21" s="890"/>
      <c r="F21" s="696" t="s">
        <v>899</v>
      </c>
      <c r="G21" s="309"/>
    </row>
    <row r="22" spans="1:13" ht="14.25" customHeight="1" x14ac:dyDescent="0.15">
      <c r="A22" s="705">
        <v>75</v>
      </c>
      <c r="B22" s="312" t="s">
        <v>542</v>
      </c>
      <c r="C22" s="309"/>
      <c r="D22" s="311"/>
      <c r="E22" s="890"/>
      <c r="F22" s="696" t="s">
        <v>902</v>
      </c>
    </row>
    <row r="23" spans="1:13" ht="14.25" customHeight="1" x14ac:dyDescent="0.15">
      <c r="A23" s="705">
        <v>100</v>
      </c>
      <c r="B23" s="312" t="s">
        <v>543</v>
      </c>
      <c r="C23" s="309"/>
      <c r="D23" s="311"/>
      <c r="E23" s="890"/>
      <c r="F23" s="696" t="s">
        <v>954</v>
      </c>
    </row>
    <row r="24" spans="1:13" ht="14.25" customHeight="1" thickBot="1" x14ac:dyDescent="0.2">
      <c r="A24" s="962">
        <v>125</v>
      </c>
      <c r="B24" s="312" t="s">
        <v>115</v>
      </c>
      <c r="C24" s="309"/>
      <c r="D24" s="311"/>
      <c r="E24" s="891">
        <f>SUM(E21:E23)</f>
        <v>0</v>
      </c>
      <c r="F24" s="704" t="s">
        <v>898</v>
      </c>
    </row>
    <row r="25" spans="1:13" ht="14.25" customHeight="1" thickTop="1" x14ac:dyDescent="0.15">
      <c r="A25" s="944" t="s">
        <v>878</v>
      </c>
      <c r="B25" s="722"/>
      <c r="C25" s="684"/>
      <c r="D25" s="311"/>
      <c r="E25" s="309"/>
      <c r="F25" s="696"/>
    </row>
    <row r="26" spans="1:13" ht="15" customHeight="1" x14ac:dyDescent="0.15">
      <c r="A26" s="702" t="s">
        <v>992</v>
      </c>
      <c r="B26" s="703"/>
      <c r="C26" s="309"/>
      <c r="D26" s="311"/>
      <c r="E26" s="937" t="s">
        <v>988</v>
      </c>
      <c r="F26" s="963" t="s">
        <v>989</v>
      </c>
    </row>
    <row r="27" spans="1:13" ht="15" customHeight="1" x14ac:dyDescent="0.15">
      <c r="A27" s="702"/>
      <c r="B27" s="703"/>
      <c r="C27" s="309"/>
      <c r="D27" s="311"/>
      <c r="E27" s="913" t="s">
        <v>538</v>
      </c>
      <c r="F27" s="964"/>
    </row>
    <row r="28" spans="1:13" ht="15" customHeight="1" x14ac:dyDescent="0.15">
      <c r="A28" s="965" t="s">
        <v>882</v>
      </c>
      <c r="B28" s="675"/>
      <c r="C28" s="674"/>
      <c r="D28" s="311"/>
      <c r="E28" s="913" t="s">
        <v>841</v>
      </c>
      <c r="F28" s="964"/>
    </row>
    <row r="29" spans="1:13" ht="15" customHeight="1" x14ac:dyDescent="0.15">
      <c r="A29" s="705">
        <v>38</v>
      </c>
      <c r="B29" s="312" t="s">
        <v>991</v>
      </c>
      <c r="C29" s="309"/>
      <c r="D29" s="311"/>
      <c r="E29" s="913" t="s">
        <v>540</v>
      </c>
      <c r="F29" s="966"/>
    </row>
    <row r="30" spans="1:13" ht="15" customHeight="1" x14ac:dyDescent="0.15">
      <c r="A30" s="705">
        <v>40</v>
      </c>
      <c r="B30" s="312" t="s">
        <v>954</v>
      </c>
      <c r="C30" s="309"/>
      <c r="D30" s="311"/>
      <c r="E30" s="913" t="s">
        <v>541</v>
      </c>
      <c r="F30" s="966"/>
    </row>
    <row r="31" spans="1:13" ht="15" customHeight="1" x14ac:dyDescent="0.15">
      <c r="A31" s="705" t="s">
        <v>901</v>
      </c>
      <c r="B31" s="309" t="s">
        <v>903</v>
      </c>
      <c r="C31" s="309"/>
      <c r="D31" s="311"/>
      <c r="E31" s="913" t="s">
        <v>539</v>
      </c>
      <c r="F31" s="966"/>
    </row>
    <row r="32" spans="1:13" ht="15" customHeight="1" x14ac:dyDescent="0.2">
      <c r="A32" s="1010" t="s">
        <v>116</v>
      </c>
      <c r="B32" s="369"/>
      <c r="C32" s="309"/>
      <c r="D32" s="311"/>
      <c r="E32" s="1011" t="s">
        <v>117</v>
      </c>
      <c r="F32" s="696"/>
      <c r="L32" s="370"/>
    </row>
    <row r="33" spans="1:20" ht="15" customHeight="1" x14ac:dyDescent="0.15">
      <c r="A33" s="693" t="s">
        <v>118</v>
      </c>
      <c r="B33" s="1411"/>
      <c r="C33" s="1411"/>
      <c r="D33" s="309"/>
      <c r="E33" s="309" t="s">
        <v>120</v>
      </c>
      <c r="F33" s="964"/>
      <c r="G33" s="371"/>
      <c r="H33" s="250"/>
      <c r="M33" s="371"/>
      <c r="N33" s="372"/>
    </row>
    <row r="34" spans="1:20" x14ac:dyDescent="0.15">
      <c r="A34" s="693" t="s">
        <v>119</v>
      </c>
      <c r="B34" s="1412"/>
      <c r="C34" s="1412"/>
      <c r="D34" s="309"/>
      <c r="E34" s="309" t="s">
        <v>534</v>
      </c>
      <c r="F34" s="966"/>
      <c r="G34" s="371"/>
      <c r="H34" s="250"/>
      <c r="I34" s="309"/>
      <c r="M34" s="371"/>
      <c r="N34" s="372"/>
    </row>
    <row r="35" spans="1:20" x14ac:dyDescent="0.15">
      <c r="A35" s="693" t="s">
        <v>120</v>
      </c>
      <c r="B35" s="1412"/>
      <c r="C35" s="1412"/>
      <c r="D35" s="309"/>
      <c r="E35" s="913" t="s">
        <v>520</v>
      </c>
      <c r="F35" s="967"/>
      <c r="G35" s="371"/>
      <c r="H35" s="250"/>
      <c r="I35" s="309"/>
      <c r="M35" s="371"/>
      <c r="N35" s="372"/>
    </row>
    <row r="36" spans="1:20" x14ac:dyDescent="0.15">
      <c r="A36" s="693" t="s">
        <v>534</v>
      </c>
      <c r="B36" s="1412"/>
      <c r="C36" s="1412"/>
      <c r="D36" s="309"/>
      <c r="E36" s="309" t="s">
        <v>885</v>
      </c>
      <c r="F36" s="966"/>
      <c r="G36" s="371"/>
      <c r="H36" s="250"/>
      <c r="M36" s="371"/>
      <c r="N36" s="372"/>
    </row>
    <row r="37" spans="1:20" x14ac:dyDescent="0.15">
      <c r="A37" s="693" t="s">
        <v>122</v>
      </c>
      <c r="B37" s="1412"/>
      <c r="C37" s="1412"/>
      <c r="D37" s="309"/>
      <c r="E37" s="933"/>
      <c r="F37" s="968"/>
      <c r="G37" s="371"/>
      <c r="H37" s="250"/>
      <c r="M37" s="371"/>
      <c r="N37" s="372"/>
    </row>
    <row r="38" spans="1:20" x14ac:dyDescent="0.15">
      <c r="A38" s="693" t="s">
        <v>124</v>
      </c>
      <c r="B38" s="1412"/>
      <c r="C38" s="1412"/>
      <c r="D38" s="309"/>
      <c r="E38" s="724" t="s">
        <v>945</v>
      </c>
      <c r="F38" s="969"/>
      <c r="G38" s="371"/>
      <c r="H38" s="250"/>
      <c r="M38" s="371"/>
      <c r="N38" s="372"/>
    </row>
    <row r="39" spans="1:20" ht="15" x14ac:dyDescent="0.2">
      <c r="A39" s="1435" t="s">
        <v>940</v>
      </c>
      <c r="B39" s="1436"/>
      <c r="C39" s="916"/>
      <c r="D39" s="309"/>
      <c r="E39" s="725"/>
      <c r="F39" s="970" t="s">
        <v>887</v>
      </c>
      <c r="G39" s="371"/>
      <c r="M39" s="371"/>
      <c r="N39" s="372"/>
    </row>
    <row r="40" spans="1:20" s="373" customFormat="1" x14ac:dyDescent="0.15">
      <c r="A40" s="971" t="s">
        <v>524</v>
      </c>
      <c r="B40" s="634"/>
      <c r="C40" s="726"/>
      <c r="D40" s="372"/>
      <c r="E40" s="725"/>
      <c r="F40" s="970" t="s">
        <v>886</v>
      </c>
      <c r="G40" s="371"/>
      <c r="M40" s="371"/>
      <c r="N40" s="372"/>
    </row>
    <row r="41" spans="1:20" ht="15" x14ac:dyDescent="0.15">
      <c r="A41" s="694" t="s">
        <v>522</v>
      </c>
      <c r="B41" s="634"/>
      <c r="C41" s="917"/>
      <c r="D41" s="311"/>
      <c r="E41" s="725"/>
      <c r="F41" s="972" t="s">
        <v>956</v>
      </c>
      <c r="M41" s="372"/>
      <c r="N41" s="372"/>
    </row>
    <row r="42" spans="1:20" ht="23.25" customHeight="1" x14ac:dyDescent="0.2">
      <c r="A42" s="694" t="s">
        <v>896</v>
      </c>
      <c r="B42" s="1434"/>
      <c r="C42" s="1434"/>
      <c r="D42" s="311"/>
      <c r="E42" s="1914"/>
      <c r="F42" s="1915"/>
      <c r="G42" s="635"/>
    </row>
    <row r="43" spans="1:20" ht="15" x14ac:dyDescent="0.15">
      <c r="A43" s="694"/>
      <c r="B43" s="634"/>
      <c r="C43" s="650"/>
      <c r="D43" s="311"/>
      <c r="E43" s="725"/>
      <c r="F43" s="972" t="s">
        <v>955</v>
      </c>
      <c r="K43" s="372"/>
      <c r="L43" s="372"/>
      <c r="M43" s="372"/>
      <c r="N43" s="372"/>
    </row>
    <row r="44" spans="1:20" ht="16" x14ac:dyDescent="0.2">
      <c r="A44" s="1012" t="s">
        <v>125</v>
      </c>
      <c r="B44" s="375"/>
      <c r="C44" s="309"/>
      <c r="D44" s="311"/>
      <c r="E44" s="884"/>
      <c r="F44" s="948" t="s">
        <v>906</v>
      </c>
      <c r="K44" s="372"/>
      <c r="L44" s="372"/>
      <c r="M44" s="372"/>
      <c r="N44" s="372"/>
    </row>
    <row r="45" spans="1:20" ht="15" x14ac:dyDescent="0.2">
      <c r="A45" s="693" t="s">
        <v>118</v>
      </c>
      <c r="B45" s="1411"/>
      <c r="C45" s="1440"/>
      <c r="D45" s="311"/>
      <c r="E45" s="309"/>
      <c r="F45" s="973"/>
      <c r="K45" s="372"/>
      <c r="L45" s="372"/>
      <c r="M45" s="372"/>
      <c r="N45" s="372"/>
      <c r="O45" s="623"/>
      <c r="P45" s="623"/>
      <c r="Q45" s="623"/>
      <c r="R45" s="623"/>
      <c r="S45" s="623"/>
      <c r="T45" s="623"/>
    </row>
    <row r="46" spans="1:20" ht="15" x14ac:dyDescent="0.2">
      <c r="A46" s="693" t="s">
        <v>119</v>
      </c>
      <c r="B46" s="1411"/>
      <c r="C46" s="1440"/>
      <c r="D46" s="311"/>
      <c r="E46" s="309"/>
      <c r="F46" s="967"/>
      <c r="K46" s="372"/>
      <c r="L46" s="372"/>
      <c r="M46" s="372"/>
      <c r="N46" s="372"/>
      <c r="O46" s="623"/>
      <c r="P46" s="623"/>
      <c r="Q46" s="623"/>
      <c r="R46" s="623"/>
      <c r="S46" s="623"/>
      <c r="T46" s="623"/>
    </row>
    <row r="47" spans="1:20" ht="15" x14ac:dyDescent="0.2">
      <c r="A47" s="693" t="s">
        <v>120</v>
      </c>
      <c r="B47" s="1412"/>
      <c r="C47" s="1448"/>
      <c r="D47" s="311"/>
      <c r="E47" s="974" t="s">
        <v>990</v>
      </c>
      <c r="F47" s="967"/>
      <c r="K47" s="372"/>
      <c r="L47" s="372"/>
      <c r="M47" s="372"/>
      <c r="N47" s="372"/>
      <c r="O47" s="623"/>
      <c r="P47" s="623"/>
      <c r="Q47" s="623"/>
      <c r="R47" s="623"/>
      <c r="S47" s="623"/>
      <c r="T47" s="623"/>
    </row>
    <row r="48" spans="1:20" ht="15" x14ac:dyDescent="0.2">
      <c r="A48" s="693" t="s">
        <v>121</v>
      </c>
      <c r="B48" s="1412"/>
      <c r="C48" s="1448"/>
      <c r="D48" s="311"/>
      <c r="E48" s="309" t="s">
        <v>884</v>
      </c>
      <c r="F48" s="975"/>
      <c r="K48" s="372"/>
      <c r="L48" s="372"/>
      <c r="M48" s="372"/>
      <c r="N48" s="372"/>
      <c r="O48" s="623"/>
      <c r="P48" s="623"/>
      <c r="Q48" s="623"/>
      <c r="R48" s="623"/>
      <c r="S48" s="623"/>
      <c r="T48" s="623"/>
    </row>
    <row r="49" spans="1:20" ht="15" x14ac:dyDescent="0.2">
      <c r="A49" s="693" t="s">
        <v>122</v>
      </c>
      <c r="B49" s="1412"/>
      <c r="C49" s="1448"/>
      <c r="D49" s="311"/>
      <c r="E49" s="309" t="s">
        <v>418</v>
      </c>
      <c r="F49" s="966"/>
      <c r="K49" s="372"/>
      <c r="L49" s="372"/>
      <c r="M49" s="372"/>
      <c r="N49" s="372"/>
      <c r="O49" s="623"/>
      <c r="P49" s="623"/>
      <c r="Q49" s="623"/>
      <c r="R49" s="623"/>
      <c r="S49" s="623"/>
      <c r="T49" s="623"/>
    </row>
    <row r="50" spans="1:20" ht="15" x14ac:dyDescent="0.2">
      <c r="A50" s="693" t="s">
        <v>123</v>
      </c>
      <c r="B50" s="1412"/>
      <c r="C50" s="1448"/>
      <c r="D50" s="311"/>
      <c r="E50" s="309" t="s">
        <v>120</v>
      </c>
      <c r="F50" s="966"/>
      <c r="K50" s="372"/>
      <c r="L50" s="372"/>
      <c r="M50" s="372"/>
      <c r="N50" s="372"/>
      <c r="O50" s="623"/>
      <c r="P50" s="623"/>
      <c r="Q50" s="623"/>
      <c r="R50" s="623"/>
      <c r="S50" s="623"/>
      <c r="T50" s="623"/>
    </row>
    <row r="51" spans="1:20" ht="15" x14ac:dyDescent="0.2">
      <c r="A51" s="693" t="s">
        <v>124</v>
      </c>
      <c r="B51" s="1412"/>
      <c r="C51" s="1448"/>
      <c r="D51" s="311"/>
      <c r="E51" s="309" t="s">
        <v>534</v>
      </c>
      <c r="F51" s="966"/>
      <c r="K51" s="372"/>
      <c r="L51" s="372"/>
      <c r="M51" s="372"/>
      <c r="N51" s="372"/>
      <c r="O51" s="623"/>
      <c r="P51" s="623"/>
      <c r="Q51" s="623"/>
      <c r="R51" s="623"/>
      <c r="S51" s="623"/>
      <c r="T51" s="623"/>
    </row>
    <row r="52" spans="1:20" ht="15" x14ac:dyDescent="0.2">
      <c r="A52" s="1446" t="s">
        <v>523</v>
      </c>
      <c r="B52" s="1447"/>
      <c r="C52" s="726"/>
      <c r="D52" s="311"/>
      <c r="E52" s="309" t="s">
        <v>122</v>
      </c>
      <c r="F52" s="966"/>
      <c r="K52" s="372"/>
      <c r="L52" s="372"/>
      <c r="M52" s="372"/>
      <c r="N52" s="372"/>
      <c r="O52" s="623"/>
      <c r="P52" s="623"/>
      <c r="Q52" s="623"/>
      <c r="R52" s="623"/>
      <c r="S52" s="623"/>
      <c r="T52" s="623"/>
    </row>
    <row r="53" spans="1:20" ht="35.75" customHeight="1" x14ac:dyDescent="0.2">
      <c r="A53" s="694" t="s">
        <v>539</v>
      </c>
      <c r="B53" s="1439"/>
      <c r="C53" s="1440"/>
      <c r="D53" s="691"/>
      <c r="E53" s="309" t="s">
        <v>124</v>
      </c>
      <c r="F53" s="976"/>
      <c r="G53" s="718"/>
      <c r="L53" s="372"/>
      <c r="M53" s="371"/>
      <c r="N53" s="371"/>
      <c r="O53" s="623"/>
      <c r="P53" s="623"/>
      <c r="Q53" s="623"/>
      <c r="R53" s="623"/>
      <c r="S53" s="623"/>
      <c r="T53" s="623"/>
    </row>
    <row r="54" spans="1:20" ht="54.75" customHeight="1" x14ac:dyDescent="0.2">
      <c r="A54" s="1444" t="s">
        <v>826</v>
      </c>
      <c r="B54" s="1445"/>
      <c r="C54" s="1445"/>
      <c r="D54" s="1445"/>
      <c r="E54" s="376" t="s">
        <v>126</v>
      </c>
      <c r="F54" s="964"/>
      <c r="G54" s="714"/>
      <c r="H54" s="309"/>
      <c r="L54" s="372"/>
      <c r="M54" s="371"/>
      <c r="N54" s="371"/>
      <c r="O54" s="623"/>
      <c r="P54" s="623"/>
      <c r="Q54" s="623"/>
      <c r="R54" s="623"/>
      <c r="S54" s="623"/>
      <c r="T54" s="623"/>
    </row>
    <row r="55" spans="1:20" ht="10.5" customHeight="1" thickBot="1" x14ac:dyDescent="0.2">
      <c r="A55" s="690"/>
      <c r="B55" s="706"/>
      <c r="C55" s="706"/>
      <c r="D55" s="706"/>
      <c r="E55" s="977"/>
      <c r="F55" s="978"/>
      <c r="K55" s="372"/>
      <c r="L55" s="372"/>
      <c r="M55" s="372"/>
      <c r="N55" s="372"/>
      <c r="O55" s="372"/>
      <c r="P55" s="372"/>
    </row>
    <row r="56" spans="1:20" x14ac:dyDescent="0.15">
      <c r="A56" s="984" t="s">
        <v>527</v>
      </c>
      <c r="B56" s="923"/>
      <c r="C56" s="923"/>
      <c r="D56" s="923"/>
      <c r="E56" s="923"/>
      <c r="F56" s="924"/>
      <c r="K56" s="372"/>
      <c r="L56" s="372"/>
      <c r="M56" s="372"/>
      <c r="N56" s="372"/>
      <c r="O56" s="372"/>
      <c r="P56" s="372"/>
    </row>
    <row r="57" spans="1:20" ht="15" x14ac:dyDescent="0.2">
      <c r="A57" s="1442" t="s">
        <v>528</v>
      </c>
      <c r="B57" s="1443"/>
      <c r="C57" s="1443"/>
      <c r="D57" s="1443"/>
      <c r="E57" s="377">
        <f>D71</f>
        <v>100</v>
      </c>
      <c r="F57" s="1441" t="s">
        <v>759</v>
      </c>
    </row>
    <row r="58" spans="1:20" ht="15" x14ac:dyDescent="0.2">
      <c r="A58" s="1442" t="s">
        <v>553</v>
      </c>
      <c r="B58" s="1443"/>
      <c r="C58" s="1443"/>
      <c r="D58" s="1443"/>
      <c r="E58" s="377">
        <f>D70</f>
        <v>99</v>
      </c>
      <c r="F58" s="1441"/>
    </row>
    <row r="59" spans="1:20" ht="15" x14ac:dyDescent="0.2">
      <c r="A59" s="1442" t="s">
        <v>554</v>
      </c>
      <c r="B59" s="1443"/>
      <c r="C59" s="1443"/>
      <c r="D59" s="1443"/>
      <c r="E59" s="377">
        <f>'7. Energy'!B49+'8. Water'!B62+'9. Lot Choice'!B41+'10. Site'!B36+'11. Health'!B58+'12. Materials'!B53+'13. Disaster Mitigation'!B56+'14. General'!B40</f>
        <v>99</v>
      </c>
      <c r="F59" s="1441"/>
    </row>
    <row r="60" spans="1:20" ht="7.5" customHeight="1" x14ac:dyDescent="0.15">
      <c r="A60" s="693"/>
      <c r="B60" s="309"/>
      <c r="C60" s="309"/>
      <c r="D60" s="309"/>
      <c r="E60" s="309"/>
      <c r="F60" s="696"/>
    </row>
    <row r="61" spans="1:20" ht="15" x14ac:dyDescent="0.2">
      <c r="A61" s="693"/>
      <c r="B61" s="378" t="s">
        <v>128</v>
      </c>
      <c r="C61" s="379"/>
      <c r="D61" s="380" t="s">
        <v>129</v>
      </c>
      <c r="E61" s="381"/>
      <c r="F61" s="697" t="s">
        <v>130</v>
      </c>
    </row>
    <row r="62" spans="1:20" ht="15" x14ac:dyDescent="0.2">
      <c r="A62" s="693"/>
      <c r="B62" s="153" t="s">
        <v>131</v>
      </c>
      <c r="C62" s="379"/>
      <c r="D62" s="770">
        <f>'7. Energy'!B51</f>
        <v>43</v>
      </c>
      <c r="E62" s="381"/>
      <c r="F62" s="698" t="s">
        <v>132</v>
      </c>
    </row>
    <row r="63" spans="1:20" ht="15" x14ac:dyDescent="0.2">
      <c r="A63" s="693"/>
      <c r="B63" s="153" t="s">
        <v>133</v>
      </c>
      <c r="C63" s="379"/>
      <c r="D63" s="770">
        <f>'8. Water'!B64</f>
        <v>12</v>
      </c>
      <c r="E63" s="381"/>
      <c r="F63" s="698" t="s">
        <v>134</v>
      </c>
    </row>
    <row r="64" spans="1:20" ht="15" x14ac:dyDescent="0.2">
      <c r="A64" s="693"/>
      <c r="B64" s="153" t="s">
        <v>135</v>
      </c>
      <c r="C64" s="153"/>
      <c r="D64" s="770">
        <f>'9. Lot Choice'!B43</f>
        <v>0</v>
      </c>
      <c r="E64" s="381"/>
      <c r="F64" s="698" t="s">
        <v>136</v>
      </c>
    </row>
    <row r="65" spans="1:12" ht="15" x14ac:dyDescent="0.2">
      <c r="A65" s="693"/>
      <c r="B65" s="153" t="s">
        <v>137</v>
      </c>
      <c r="C65" s="379"/>
      <c r="D65" s="770">
        <f>'10. Site'!B38</f>
        <v>4</v>
      </c>
      <c r="E65" s="381"/>
      <c r="F65" s="699" t="s">
        <v>138</v>
      </c>
    </row>
    <row r="66" spans="1:12" ht="15" x14ac:dyDescent="0.2">
      <c r="A66" s="693"/>
      <c r="B66" s="153" t="s">
        <v>139</v>
      </c>
      <c r="C66" s="379"/>
      <c r="D66" s="770">
        <f>'11. Health'!B60</f>
        <v>22</v>
      </c>
      <c r="E66" s="381"/>
      <c r="F66" s="698" t="s">
        <v>140</v>
      </c>
    </row>
    <row r="67" spans="1:12" ht="15" x14ac:dyDescent="0.2">
      <c r="A67" s="693"/>
      <c r="B67" s="153" t="s">
        <v>141</v>
      </c>
      <c r="C67" s="379"/>
      <c r="D67" s="770">
        <f>'12. Materials'!B55</f>
        <v>8</v>
      </c>
      <c r="E67" s="381"/>
      <c r="F67" s="699" t="s">
        <v>142</v>
      </c>
    </row>
    <row r="68" spans="1:12" ht="15" x14ac:dyDescent="0.2">
      <c r="A68" s="693"/>
      <c r="B68" s="153" t="s">
        <v>143</v>
      </c>
      <c r="C68" s="153"/>
      <c r="D68" s="770">
        <f>'13. Disaster Mitigation'!B58</f>
        <v>5</v>
      </c>
      <c r="E68" s="381"/>
      <c r="F68" s="699" t="s">
        <v>138</v>
      </c>
    </row>
    <row r="69" spans="1:12" ht="15" x14ac:dyDescent="0.2">
      <c r="A69" s="693"/>
      <c r="B69" s="153" t="s">
        <v>144</v>
      </c>
      <c r="C69" s="379"/>
      <c r="D69" s="770">
        <f>'14. General'!B42</f>
        <v>5</v>
      </c>
      <c r="E69" s="381"/>
      <c r="F69" s="698" t="s">
        <v>145</v>
      </c>
    </row>
    <row r="70" spans="1:12" ht="15" x14ac:dyDescent="0.2">
      <c r="A70" s="693"/>
      <c r="B70" s="379"/>
      <c r="C70" s="382" t="s">
        <v>146</v>
      </c>
      <c r="D70" s="940">
        <f>'4. SUMMARY'!E404</f>
        <v>99</v>
      </c>
      <c r="E70" s="381"/>
      <c r="F70" s="979"/>
    </row>
    <row r="71" spans="1:12" ht="15" x14ac:dyDescent="0.2">
      <c r="A71" s="693"/>
      <c r="B71" s="379"/>
      <c r="C71" s="915" t="s">
        <v>532</v>
      </c>
      <c r="D71" s="941">
        <v>100</v>
      </c>
      <c r="E71" s="383"/>
      <c r="F71" s="979"/>
    </row>
    <row r="72" spans="1:12" ht="19.25" customHeight="1" x14ac:dyDescent="0.25">
      <c r="A72" s="693"/>
      <c r="B72" s="379"/>
      <c r="C72" s="939" t="s">
        <v>993</v>
      </c>
      <c r="D72" s="772">
        <f>D87+100</f>
        <v>99</v>
      </c>
      <c r="E72" s="938"/>
      <c r="F72" s="979"/>
    </row>
    <row r="73" spans="1:12" ht="20" customHeight="1" thickBot="1" x14ac:dyDescent="0.3">
      <c r="A73" s="690"/>
      <c r="B73" s="700"/>
      <c r="C73" s="980" t="s">
        <v>4</v>
      </c>
      <c r="D73" s="981" t="str">
        <f>IF(D70=0," ",IF(D87&lt;=-1,"Not Certifiable",(IF(D87&lt;=30,"Bronze",(IF(D87&lt;=60,"Silver",(IF(D87&lt;=90,"Gold",(IF(D87&gt;=91,"Platinum",("""")))))))))))</f>
        <v>Not Certifiable</v>
      </c>
      <c r="E73" s="982"/>
      <c r="F73" s="983"/>
    </row>
    <row r="74" spans="1:12" ht="15" x14ac:dyDescent="0.2">
      <c r="A74" s="94"/>
      <c r="B74" s="94"/>
      <c r="D74" s="384"/>
      <c r="E74" s="94"/>
      <c r="G74" s="622"/>
      <c r="H74" s="389"/>
      <c r="I74" s="389"/>
      <c r="J74" s="391"/>
      <c r="K74" s="391"/>
      <c r="L74" s="389"/>
    </row>
    <row r="75" spans="1:12" s="386" customFormat="1" ht="15" x14ac:dyDescent="0.2">
      <c r="A75" s="621"/>
      <c r="B75" s="621"/>
      <c r="C75" s="620"/>
      <c r="D75" s="709"/>
      <c r="E75" s="621"/>
      <c r="F75" s="620"/>
      <c r="G75" s="387"/>
      <c r="H75" s="388"/>
      <c r="J75" s="385"/>
      <c r="K75" s="250"/>
    </row>
    <row r="76" spans="1:12" s="386" customFormat="1" ht="15" x14ac:dyDescent="0.2">
      <c r="A76" s="621"/>
      <c r="B76" s="710"/>
      <c r="C76" s="621"/>
      <c r="D76" s="621"/>
      <c r="E76" s="710"/>
      <c r="F76" s="621"/>
      <c r="G76" s="385"/>
      <c r="H76" s="388" t="s">
        <v>235</v>
      </c>
      <c r="I76" s="389">
        <v>0</v>
      </c>
      <c r="J76" s="385"/>
      <c r="K76" s="250"/>
    </row>
    <row r="77" spans="1:12" s="386" customFormat="1" ht="65.25" customHeight="1" x14ac:dyDescent="0.2">
      <c r="A77" s="621"/>
      <c r="B77" s="711"/>
      <c r="C77" s="385"/>
      <c r="D77" s="624"/>
      <c r="E77" s="932"/>
      <c r="F77" s="374"/>
      <c r="G77" s="385"/>
      <c r="H77" s="388" t="s">
        <v>236</v>
      </c>
      <c r="I77" s="389">
        <v>30</v>
      </c>
      <c r="J77" s="385"/>
      <c r="K77" s="367"/>
    </row>
    <row r="78" spans="1:12" s="386" customFormat="1" ht="15" x14ac:dyDescent="0.2">
      <c r="A78" s="620"/>
      <c r="B78" s="620"/>
      <c r="C78" s="386" t="s">
        <v>828</v>
      </c>
      <c r="D78" s="624"/>
      <c r="E78" s="933"/>
      <c r="F78" s="934"/>
      <c r="G78" s="385"/>
      <c r="H78" s="388" t="s">
        <v>237</v>
      </c>
      <c r="I78" s="389">
        <v>60</v>
      </c>
      <c r="K78" s="367"/>
    </row>
    <row r="79" spans="1:12" s="386" customFormat="1" ht="15" x14ac:dyDescent="0.2">
      <c r="A79" s="620"/>
      <c r="B79" s="620"/>
      <c r="C79" s="386" t="s">
        <v>829</v>
      </c>
      <c r="D79" s="624"/>
      <c r="E79" s="933"/>
      <c r="F79" s="934"/>
      <c r="G79" s="385"/>
      <c r="H79" s="388" t="s">
        <v>238</v>
      </c>
      <c r="I79" s="386">
        <v>90</v>
      </c>
      <c r="J79" s="390"/>
      <c r="K79" s="389"/>
    </row>
    <row r="80" spans="1:12" s="389" customFormat="1" ht="15" x14ac:dyDescent="0.2">
      <c r="A80" s="619"/>
      <c r="B80" s="619"/>
      <c r="C80" s="389" t="s">
        <v>830</v>
      </c>
      <c r="D80" s="624"/>
      <c r="E80" s="933"/>
      <c r="F80" s="935"/>
      <c r="G80" s="391"/>
      <c r="H80" s="388" t="s">
        <v>239</v>
      </c>
      <c r="I80" s="389">
        <v>91</v>
      </c>
      <c r="J80" s="392"/>
      <c r="K80" s="389" t="s">
        <v>22</v>
      </c>
    </row>
    <row r="81" spans="1:12" s="389" customFormat="1" ht="15" x14ac:dyDescent="0.2">
      <c r="A81" s="619"/>
      <c r="B81" s="619"/>
      <c r="C81" s="389" t="s">
        <v>831</v>
      </c>
      <c r="D81" s="624"/>
      <c r="E81" s="1437"/>
      <c r="F81" s="1438"/>
      <c r="G81" s="391"/>
      <c r="H81" s="391"/>
      <c r="J81" s="392"/>
      <c r="K81" s="389" t="s">
        <v>21</v>
      </c>
    </row>
    <row r="82" spans="1:12" s="389" customFormat="1" ht="15" x14ac:dyDescent="0.2">
      <c r="A82" s="619"/>
      <c r="B82" s="619"/>
      <c r="C82" s="389" t="s">
        <v>832</v>
      </c>
      <c r="D82" s="624"/>
      <c r="E82" s="933"/>
      <c r="F82" s="935"/>
      <c r="G82" s="391"/>
      <c r="H82" s="391"/>
      <c r="J82" s="393"/>
    </row>
    <row r="83" spans="1:12" s="389" customFormat="1" ht="15" x14ac:dyDescent="0.2">
      <c r="A83" s="619"/>
      <c r="B83" s="619"/>
      <c r="C83" s="389" t="s">
        <v>833</v>
      </c>
      <c r="D83" s="624"/>
      <c r="E83" s="936"/>
      <c r="F83" s="372"/>
      <c r="G83" s="394" t="s">
        <v>128</v>
      </c>
      <c r="H83" s="394" t="s">
        <v>223</v>
      </c>
      <c r="I83" s="394" t="s">
        <v>836</v>
      </c>
      <c r="J83" s="394" t="s">
        <v>225</v>
      </c>
      <c r="K83" s="389" t="s">
        <v>888</v>
      </c>
    </row>
    <row r="84" spans="1:12" s="389" customFormat="1" ht="15" x14ac:dyDescent="0.2">
      <c r="A84" s="619"/>
      <c r="B84" s="619"/>
      <c r="C84" s="389" t="s">
        <v>834</v>
      </c>
      <c r="D84" s="391">
        <f>IF('13. Disaster Mitigation'!B58&lt;5,5-'13. Disaster Mitigation'!B58,0)</f>
        <v>0</v>
      </c>
      <c r="E84" s="391"/>
      <c r="F84" s="619"/>
      <c r="G84" s="394" t="s">
        <v>226</v>
      </c>
      <c r="H84" s="395">
        <v>30</v>
      </c>
      <c r="I84" s="395">
        <f t="shared" ref="I84:I92" si="0">D62</f>
        <v>43</v>
      </c>
      <c r="J84" s="395">
        <v>75</v>
      </c>
      <c r="K84" s="389" t="s">
        <v>889</v>
      </c>
    </row>
    <row r="85" spans="1:12" s="389" customFormat="1" ht="15" x14ac:dyDescent="0.2">
      <c r="A85" s="619"/>
      <c r="B85" s="619"/>
      <c r="C85" s="389" t="s">
        <v>835</v>
      </c>
      <c r="D85" s="391">
        <f>IF('14. General'!B42&lt;0,0-'14. General'!B42,0)</f>
        <v>0</v>
      </c>
      <c r="E85" s="391"/>
      <c r="F85" s="619"/>
      <c r="G85" s="394" t="s">
        <v>227</v>
      </c>
      <c r="H85" s="395">
        <v>15</v>
      </c>
      <c r="I85" s="395">
        <f t="shared" si="0"/>
        <v>12</v>
      </c>
      <c r="J85" s="395">
        <v>40</v>
      </c>
    </row>
    <row r="86" spans="1:12" s="389" customFormat="1" ht="15" x14ac:dyDescent="0.2">
      <c r="A86" s="619"/>
      <c r="B86" s="619"/>
      <c r="D86" s="391"/>
      <c r="E86" s="391"/>
      <c r="F86" s="619"/>
      <c r="G86" s="394" t="s">
        <v>228</v>
      </c>
      <c r="H86" s="395">
        <v>0</v>
      </c>
      <c r="I86" s="395">
        <f t="shared" si="0"/>
        <v>0</v>
      </c>
      <c r="J86" s="395">
        <v>15</v>
      </c>
      <c r="K86" s="389" t="s">
        <v>18</v>
      </c>
    </row>
    <row r="87" spans="1:12" s="389" customFormat="1" ht="15" x14ac:dyDescent="0.2">
      <c r="A87" s="462"/>
      <c r="B87" s="712"/>
      <c r="C87" s="391"/>
      <c r="D87" s="391">
        <f>D70-D71</f>
        <v>-1</v>
      </c>
      <c r="F87" s="619"/>
      <c r="G87" s="394" t="s">
        <v>229</v>
      </c>
      <c r="H87" s="395">
        <v>5</v>
      </c>
      <c r="I87" s="395">
        <f t="shared" si="0"/>
        <v>4</v>
      </c>
      <c r="J87" s="395">
        <v>30</v>
      </c>
      <c r="K87" s="389" t="s">
        <v>19</v>
      </c>
    </row>
    <row r="88" spans="1:12" s="389" customFormat="1" ht="15" x14ac:dyDescent="0.2">
      <c r="A88" s="462"/>
      <c r="B88" s="712"/>
      <c r="C88" s="391"/>
      <c r="E88" s="390"/>
      <c r="F88" s="620"/>
      <c r="G88" s="394" t="s">
        <v>230</v>
      </c>
      <c r="H88" s="395">
        <v>15</v>
      </c>
      <c r="I88" s="395">
        <f t="shared" si="0"/>
        <v>22</v>
      </c>
      <c r="J88" s="395">
        <v>35</v>
      </c>
    </row>
    <row r="89" spans="1:12" s="389" customFormat="1" ht="15" x14ac:dyDescent="0.2">
      <c r="A89" s="462"/>
      <c r="B89" s="712"/>
      <c r="C89" s="391"/>
      <c r="D89" s="396"/>
      <c r="E89" s="396"/>
      <c r="F89" s="713"/>
      <c r="G89" s="394" t="s">
        <v>231</v>
      </c>
      <c r="H89" s="395">
        <v>10</v>
      </c>
      <c r="I89" s="395">
        <f t="shared" si="0"/>
        <v>8</v>
      </c>
      <c r="J89" s="395">
        <v>35</v>
      </c>
    </row>
    <row r="90" spans="1:12" s="389" customFormat="1" ht="15" x14ac:dyDescent="0.2">
      <c r="A90" s="462"/>
      <c r="B90" s="462"/>
      <c r="C90" s="462"/>
      <c r="D90" s="619"/>
      <c r="E90" s="619"/>
      <c r="F90" s="619"/>
      <c r="G90" s="394" t="s">
        <v>232</v>
      </c>
      <c r="H90" s="395">
        <v>5</v>
      </c>
      <c r="I90" s="395">
        <f t="shared" si="0"/>
        <v>5</v>
      </c>
      <c r="J90" s="395">
        <v>30</v>
      </c>
      <c r="K90" s="367"/>
    </row>
    <row r="91" spans="1:12" s="389" customFormat="1" ht="15" x14ac:dyDescent="0.2">
      <c r="A91" s="462"/>
      <c r="B91" s="462"/>
      <c r="C91" s="462"/>
      <c r="D91" s="619"/>
      <c r="E91" s="619"/>
      <c r="F91" s="619"/>
      <c r="G91" s="394" t="s">
        <v>233</v>
      </c>
      <c r="H91" s="395">
        <v>0</v>
      </c>
      <c r="I91" s="395">
        <f t="shared" si="0"/>
        <v>5</v>
      </c>
      <c r="J91" s="395">
        <v>40</v>
      </c>
      <c r="K91" s="367"/>
    </row>
    <row r="92" spans="1:12" s="389" customFormat="1" ht="15" x14ac:dyDescent="0.2">
      <c r="A92" s="619"/>
      <c r="B92" s="619"/>
      <c r="C92" s="619"/>
      <c r="D92" s="619"/>
      <c r="E92" s="619"/>
      <c r="F92" s="619"/>
      <c r="G92" s="394" t="s">
        <v>234</v>
      </c>
      <c r="H92" s="395">
        <f>D71</f>
        <v>100</v>
      </c>
      <c r="I92" s="395">
        <f t="shared" si="0"/>
        <v>99</v>
      </c>
      <c r="J92" s="395">
        <v>300</v>
      </c>
      <c r="K92" s="367"/>
    </row>
    <row r="93" spans="1:12" s="389" customFormat="1" x14ac:dyDescent="0.15">
      <c r="A93" s="619"/>
      <c r="B93" s="619"/>
      <c r="C93" s="619"/>
      <c r="D93" s="619"/>
      <c r="E93" s="619"/>
      <c r="F93" s="619"/>
      <c r="K93" s="367"/>
    </row>
    <row r="94" spans="1:12" x14ac:dyDescent="0.15">
      <c r="A94" s="619"/>
      <c r="B94" s="619"/>
      <c r="C94" s="619"/>
      <c r="D94" s="619"/>
      <c r="E94" s="619"/>
      <c r="F94" s="619"/>
      <c r="G94" s="389"/>
      <c r="H94" s="389"/>
      <c r="I94" s="389"/>
      <c r="J94" s="389"/>
      <c r="L94" s="389"/>
    </row>
    <row r="95" spans="1:12" x14ac:dyDescent="0.15">
      <c r="G95" s="389"/>
      <c r="H95" s="389"/>
      <c r="I95" s="389"/>
      <c r="J95" s="389"/>
      <c r="L95" s="389"/>
    </row>
    <row r="96" spans="1:12" x14ac:dyDescent="0.15">
      <c r="G96" s="389"/>
      <c r="H96" s="389"/>
      <c r="I96" s="389"/>
      <c r="J96" s="389"/>
      <c r="L96" s="389"/>
    </row>
    <row r="97" spans="7:12" x14ac:dyDescent="0.15">
      <c r="G97" s="389"/>
      <c r="H97" s="389"/>
      <c r="I97" s="389"/>
      <c r="J97" s="389"/>
      <c r="K97" s="389"/>
      <c r="L97" s="389"/>
    </row>
    <row r="98" spans="7:12" x14ac:dyDescent="0.15">
      <c r="G98" s="389"/>
      <c r="H98" s="389"/>
      <c r="I98" s="389"/>
      <c r="J98" s="389"/>
      <c r="K98" s="389"/>
      <c r="L98" s="389"/>
    </row>
    <row r="99" spans="7:12" x14ac:dyDescent="0.15">
      <c r="G99" s="389"/>
      <c r="H99" s="389"/>
      <c r="I99" s="389"/>
      <c r="J99" s="389"/>
      <c r="K99" s="389"/>
      <c r="L99" s="389"/>
    </row>
    <row r="100" spans="7:12" x14ac:dyDescent="0.15">
      <c r="G100" s="389"/>
      <c r="H100" s="389"/>
      <c r="I100" s="389"/>
      <c r="J100" s="389"/>
      <c r="K100" s="389"/>
      <c r="L100" s="389"/>
    </row>
    <row r="101" spans="7:12" x14ac:dyDescent="0.15">
      <c r="G101" s="389"/>
      <c r="H101" s="389"/>
      <c r="I101" s="389"/>
      <c r="J101" s="389"/>
      <c r="K101" s="389"/>
      <c r="L101" s="389"/>
    </row>
    <row r="102" spans="7:12" x14ac:dyDescent="0.15">
      <c r="G102" s="389"/>
      <c r="H102" s="389"/>
      <c r="I102" s="389"/>
      <c r="J102" s="389"/>
      <c r="K102" s="389"/>
      <c r="L102" s="389"/>
    </row>
  </sheetData>
  <sheetProtection algorithmName="SHA-512" hashValue="rBUGa6qCilcXT+GulvrwiZiAhJYoV0ThmIlFblxn5Br+mEYgwNAMObjlzXGayVj9XMkd6NiM7XpwF8JvM5/Ukg==" saltValue="CM1v45QKTpMpA0qP8fhYog==" spinCount="100000" sheet="1" selectLockedCells="1"/>
  <mergeCells count="34">
    <mergeCell ref="E81:F81"/>
    <mergeCell ref="B47:C47"/>
    <mergeCell ref="A52:B52"/>
    <mergeCell ref="A54:D54"/>
    <mergeCell ref="F57:F59"/>
    <mergeCell ref="A58:D58"/>
    <mergeCell ref="A59:D59"/>
    <mergeCell ref="B53:C53"/>
    <mergeCell ref="A57:D57"/>
    <mergeCell ref="B48:C48"/>
    <mergeCell ref="B49:C49"/>
    <mergeCell ref="B50:C50"/>
    <mergeCell ref="B51:C51"/>
    <mergeCell ref="K14:M14"/>
    <mergeCell ref="B33:C33"/>
    <mergeCell ref="B34:C34"/>
    <mergeCell ref="B35:C35"/>
    <mergeCell ref="A39:B39"/>
    <mergeCell ref="B38:C38"/>
    <mergeCell ref="B45:C45"/>
    <mergeCell ref="B42:C42"/>
    <mergeCell ref="E42:F42"/>
    <mergeCell ref="B46:C46"/>
    <mergeCell ref="A1:F1"/>
    <mergeCell ref="A2:F2"/>
    <mergeCell ref="A4:F4"/>
    <mergeCell ref="B36:C36"/>
    <mergeCell ref="B37:C37"/>
    <mergeCell ref="A5:F5"/>
    <mergeCell ref="A10:F10"/>
    <mergeCell ref="A11:F11"/>
    <mergeCell ref="A3:F3"/>
    <mergeCell ref="B17:C17"/>
    <mergeCell ref="B18:C18"/>
  </mergeCells>
  <phoneticPr fontId="80" type="noConversion"/>
  <dataValidations count="3">
    <dataValidation type="list" allowBlank="1" showInputMessage="1" showErrorMessage="1" sqref="E41" xr:uid="{00000000-0002-0000-1000-000000000000}">
      <formula1>$K$85:$K$87</formula1>
    </dataValidation>
    <dataValidation type="list" allowBlank="1" showInputMessage="1" showErrorMessage="1" sqref="E40" xr:uid="{00000000-0002-0000-1000-000001000000}">
      <formula1>$K$82:$K$84</formula1>
    </dataValidation>
    <dataValidation type="list" allowBlank="1" showInputMessage="1" showErrorMessage="1" sqref="E39" xr:uid="{00000000-0002-0000-1000-000002000000}">
      <formula1>$K$79:$K$81</formula1>
    </dataValidation>
  </dataValidations>
  <hyperlinks>
    <hyperlink ref="A11" r:id="rId1" xr:uid="{00000000-0004-0000-1000-000000000000}"/>
    <hyperlink ref="E26" r:id="rId2" display="Pay Online or Authorize Credit Card Here: (Visa/MC/AX)" xr:uid="{00000000-0004-0000-1000-000001000000}"/>
  </hyperlinks>
  <printOptions horizontalCentered="1"/>
  <pageMargins left="0.2" right="0.2" top="0.75" bottom="0.36" header="0.3" footer="0.05"/>
  <pageSetup scale="59" orientation="portrait" cellComments="asDisplayed" r:id="rId3"/>
  <headerFooter>
    <oddHeader>&amp;C&amp;G</oddHeader>
    <oddFooter>&amp;C&amp;9&amp;K0070C0The FGBC Green Home Standard is endorsed by the Florida Home Builders Association &amp;G</oddFooter>
  </headerFooter>
  <legacyDrawingHF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400"/>
  <sheetViews>
    <sheetView view="pageLayout" topLeftCell="A365" zoomScaleSheetLayoutView="100" workbookViewId="0">
      <selection sqref="A1:G399"/>
    </sheetView>
  </sheetViews>
  <sheetFormatPr baseColWidth="10" defaultColWidth="8.6640625" defaultRowHeight="15" x14ac:dyDescent="0.2"/>
  <cols>
    <col min="1" max="4" width="7.6640625" style="416" customWidth="1"/>
    <col min="5" max="5" width="28.6640625" style="416" customWidth="1"/>
    <col min="6" max="6" width="7.6640625" style="416" customWidth="1"/>
    <col min="7" max="7" width="49.33203125" style="416" customWidth="1"/>
    <col min="8" max="16384" width="8.6640625" style="416"/>
  </cols>
  <sheetData>
    <row r="1" spans="1:7" ht="21" customHeight="1" x14ac:dyDescent="0.25">
      <c r="A1" s="780" t="s">
        <v>774</v>
      </c>
      <c r="B1" s="781"/>
      <c r="C1" s="781"/>
      <c r="D1" s="781"/>
      <c r="E1" s="781"/>
      <c r="F1" s="782"/>
      <c r="G1" s="873" t="str">
        <f>'1. Instructions'!B5</f>
        <v>Revised 4-5-2022</v>
      </c>
    </row>
    <row r="2" spans="1:7" ht="16" x14ac:dyDescent="0.2">
      <c r="A2" s="777" t="s">
        <v>5</v>
      </c>
      <c r="B2" s="775"/>
      <c r="C2" s="775"/>
      <c r="D2" s="775"/>
      <c r="E2" s="784"/>
      <c r="F2" s="784"/>
      <c r="G2" s="785"/>
    </row>
    <row r="3" spans="1:7" ht="17" x14ac:dyDescent="0.2">
      <c r="A3" s="786" t="s">
        <v>579</v>
      </c>
      <c r="B3" s="776" t="str">
        <f>'6. Pre-requisites'!B6</f>
        <v>N/A</v>
      </c>
      <c r="C3" s="760" t="s">
        <v>8</v>
      </c>
      <c r="D3" s="760"/>
      <c r="E3" s="784"/>
      <c r="F3" s="784"/>
      <c r="G3" s="785"/>
    </row>
    <row r="4" spans="1:7" ht="17" x14ac:dyDescent="0.2">
      <c r="A4" s="786" t="s">
        <v>580</v>
      </c>
      <c r="B4" s="776" t="str">
        <f>'6. Pre-requisites'!B7</f>
        <v>N/A</v>
      </c>
      <c r="C4" s="760" t="s">
        <v>10</v>
      </c>
      <c r="D4" s="760"/>
      <c r="E4" s="784"/>
      <c r="F4" s="784"/>
      <c r="G4" s="785"/>
    </row>
    <row r="5" spans="1:7" ht="17" x14ac:dyDescent="0.2">
      <c r="A5" s="786" t="s">
        <v>581</v>
      </c>
      <c r="B5" s="776" t="str">
        <f>'6. Pre-requisites'!B8</f>
        <v>N/A</v>
      </c>
      <c r="C5" s="760" t="s">
        <v>12</v>
      </c>
      <c r="D5" s="760"/>
      <c r="E5" s="784"/>
      <c r="F5" s="784"/>
      <c r="G5" s="785"/>
    </row>
    <row r="6" spans="1:7" ht="17" x14ac:dyDescent="0.2">
      <c r="A6" s="786" t="s">
        <v>582</v>
      </c>
      <c r="B6" s="776" t="str">
        <f>'6. Pre-requisites'!B9</f>
        <v>N/A</v>
      </c>
      <c r="C6" s="760" t="s">
        <v>499</v>
      </c>
      <c r="D6" s="760"/>
      <c r="E6" s="784"/>
      <c r="F6" s="784"/>
      <c r="G6" s="785"/>
    </row>
    <row r="7" spans="1:7" x14ac:dyDescent="0.2">
      <c r="A7" s="786" t="s">
        <v>823</v>
      </c>
      <c r="B7" s="769" t="str">
        <f>'6. Pre-requisites'!B10</f>
        <v>N/A</v>
      </c>
      <c r="C7" s="760" t="s">
        <v>824</v>
      </c>
      <c r="D7" s="760"/>
      <c r="E7" s="784"/>
      <c r="F7" s="784"/>
      <c r="G7" s="785"/>
    </row>
    <row r="8" spans="1:7" ht="16" x14ac:dyDescent="0.2">
      <c r="A8" s="777" t="s">
        <v>6</v>
      </c>
      <c r="B8" s="775"/>
      <c r="C8" s="775"/>
      <c r="D8" s="775"/>
      <c r="E8" s="784"/>
      <c r="F8" s="784"/>
      <c r="G8" s="785"/>
    </row>
    <row r="9" spans="1:7" x14ac:dyDescent="0.2">
      <c r="A9" s="786" t="s">
        <v>584</v>
      </c>
      <c r="B9" s="769" t="str">
        <f>'6. Pre-requisites'!B13</f>
        <v>N/A</v>
      </c>
      <c r="C9" s="760" t="s">
        <v>9</v>
      </c>
      <c r="D9" s="760"/>
      <c r="E9" s="784"/>
      <c r="F9" s="784"/>
      <c r="G9" s="785"/>
    </row>
    <row r="10" spans="1:7" x14ac:dyDescent="0.2">
      <c r="A10" s="786" t="s">
        <v>583</v>
      </c>
      <c r="B10" s="773" t="str">
        <f>'6. Pre-requisites'!B14</f>
        <v>N/A</v>
      </c>
      <c r="C10" s="787" t="s">
        <v>11</v>
      </c>
      <c r="D10" s="787"/>
      <c r="E10" s="784"/>
      <c r="F10" s="784"/>
      <c r="G10" s="785"/>
    </row>
    <row r="11" spans="1:7" x14ac:dyDescent="0.2">
      <c r="A11" s="786" t="s">
        <v>585</v>
      </c>
      <c r="B11" s="773" t="str">
        <f>'6. Pre-requisites'!B15</f>
        <v>N/A</v>
      </c>
      <c r="C11" s="787" t="s">
        <v>13</v>
      </c>
      <c r="D11" s="787"/>
      <c r="E11" s="784"/>
      <c r="F11" s="784"/>
      <c r="G11" s="785"/>
    </row>
    <row r="12" spans="1:7" x14ac:dyDescent="0.2">
      <c r="A12" s="786" t="s">
        <v>586</v>
      </c>
      <c r="B12" s="773" t="str">
        <f>'6. Pre-requisites'!B16</f>
        <v>N/A</v>
      </c>
      <c r="C12" s="760" t="s">
        <v>15</v>
      </c>
      <c r="D12" s="760"/>
      <c r="E12" s="784"/>
      <c r="F12" s="784"/>
      <c r="G12" s="785"/>
    </row>
    <row r="13" spans="1:7" ht="16" x14ac:dyDescent="0.2">
      <c r="A13" s="777" t="s">
        <v>500</v>
      </c>
      <c r="B13" s="775"/>
      <c r="C13" s="775"/>
      <c r="D13" s="775"/>
      <c r="E13" s="784"/>
      <c r="F13" s="784"/>
      <c r="G13" s="785"/>
    </row>
    <row r="14" spans="1:7" x14ac:dyDescent="0.2">
      <c r="A14" s="786" t="s">
        <v>587</v>
      </c>
      <c r="B14" s="769" t="str">
        <f>'6. Pre-requisites'!B19</f>
        <v>N/A</v>
      </c>
      <c r="C14" s="760" t="s">
        <v>555</v>
      </c>
      <c r="D14" s="760"/>
      <c r="E14" s="784"/>
      <c r="F14" s="784"/>
      <c r="G14" s="785"/>
    </row>
    <row r="15" spans="1:7" ht="16" thickBot="1" x14ac:dyDescent="0.25">
      <c r="A15" s="788"/>
      <c r="B15" s="789"/>
      <c r="C15" s="790" t="str">
        <f>'6. Pre-requisites'!C20</f>
        <v>New</v>
      </c>
      <c r="D15" s="791" t="s">
        <v>20</v>
      </c>
      <c r="E15" s="792"/>
      <c r="F15" s="792"/>
      <c r="G15" s="793"/>
    </row>
    <row r="16" spans="1:7" ht="21" customHeight="1" x14ac:dyDescent="0.25">
      <c r="A16" s="780" t="s">
        <v>767</v>
      </c>
      <c r="B16" s="781"/>
      <c r="C16" s="781"/>
      <c r="D16" s="781"/>
      <c r="E16" s="781"/>
      <c r="F16" s="781"/>
      <c r="G16" s="783"/>
    </row>
    <row r="17" spans="1:7" ht="16" x14ac:dyDescent="0.2">
      <c r="A17" s="794" t="s">
        <v>148</v>
      </c>
      <c r="B17" s="778"/>
      <c r="C17" s="778"/>
      <c r="D17" s="778"/>
      <c r="E17" s="778"/>
      <c r="F17" s="778"/>
      <c r="G17" s="785"/>
    </row>
    <row r="18" spans="1:7" ht="16" x14ac:dyDescent="0.2">
      <c r="A18" s="777" t="s">
        <v>27</v>
      </c>
      <c r="B18" s="775"/>
      <c r="C18" s="775"/>
      <c r="D18" s="775"/>
      <c r="E18" s="775"/>
      <c r="F18" s="795"/>
      <c r="G18" s="785"/>
    </row>
    <row r="19" spans="1:7" x14ac:dyDescent="0.2">
      <c r="A19" s="796" t="s">
        <v>588</v>
      </c>
      <c r="B19" s="769">
        <f>'7. Energy'!B5</f>
        <v>30</v>
      </c>
      <c r="C19" s="797" t="s">
        <v>440</v>
      </c>
      <c r="D19" s="798" t="s">
        <v>924</v>
      </c>
      <c r="E19" s="798"/>
      <c r="F19" s="762"/>
      <c r="G19" s="785"/>
    </row>
    <row r="20" spans="1:7" x14ac:dyDescent="0.2">
      <c r="A20" s="799"/>
      <c r="B20" s="765"/>
      <c r="C20" s="765"/>
      <c r="D20" s="770" t="str">
        <f>'7. Energy'!D6</f>
        <v>Yes</v>
      </c>
      <c r="E20" s="762" t="s">
        <v>32</v>
      </c>
      <c r="F20" s="800"/>
      <c r="G20" s="785"/>
    </row>
    <row r="21" spans="1:7" x14ac:dyDescent="0.2">
      <c r="A21" s="799"/>
      <c r="B21" s="765"/>
      <c r="C21" s="765"/>
      <c r="D21" s="769">
        <f>'7. Energy'!D7</f>
        <v>65</v>
      </c>
      <c r="E21" s="765" t="s">
        <v>33</v>
      </c>
      <c r="F21" s="801"/>
      <c r="G21" s="785"/>
    </row>
    <row r="22" spans="1:7" ht="16" x14ac:dyDescent="0.2">
      <c r="A22" s="777" t="s">
        <v>764</v>
      </c>
      <c r="B22" s="775"/>
      <c r="C22" s="775"/>
      <c r="D22" s="775"/>
      <c r="E22" s="775"/>
      <c r="F22" s="795"/>
      <c r="G22" s="785"/>
    </row>
    <row r="23" spans="1:7" x14ac:dyDescent="0.2">
      <c r="A23" s="796" t="s">
        <v>589</v>
      </c>
      <c r="B23" s="773">
        <f>'7. Energy'!B12</f>
        <v>1</v>
      </c>
      <c r="C23" s="802">
        <v>1</v>
      </c>
      <c r="D23" s="752" t="s">
        <v>912</v>
      </c>
      <c r="E23" s="752"/>
      <c r="F23" s="762"/>
      <c r="G23" s="785"/>
    </row>
    <row r="24" spans="1:7" x14ac:dyDescent="0.2">
      <c r="A24" s="796" t="s">
        <v>590</v>
      </c>
      <c r="B24" s="769">
        <f>'7. Energy'!B13</f>
        <v>1</v>
      </c>
      <c r="C24" s="804">
        <v>1</v>
      </c>
      <c r="D24" s="870" t="s">
        <v>36</v>
      </c>
      <c r="E24" s="766"/>
      <c r="F24" s="800"/>
      <c r="G24" s="785"/>
    </row>
    <row r="25" spans="1:7" x14ac:dyDescent="0.2">
      <c r="A25" s="796" t="s">
        <v>591</v>
      </c>
      <c r="B25" s="769">
        <f>'7. Energy'!B14</f>
        <v>0</v>
      </c>
      <c r="C25" s="805">
        <v>1</v>
      </c>
      <c r="D25" s="831" t="s">
        <v>501</v>
      </c>
      <c r="E25" s="760"/>
      <c r="F25" s="800"/>
      <c r="G25" s="785"/>
    </row>
    <row r="26" spans="1:7" x14ac:dyDescent="0.2">
      <c r="A26" s="796" t="s">
        <v>592</v>
      </c>
      <c r="B26" s="769">
        <f>'7. Energy'!B15</f>
        <v>0</v>
      </c>
      <c r="C26" s="804">
        <v>1</v>
      </c>
      <c r="D26" s="766" t="s">
        <v>37</v>
      </c>
      <c r="E26" s="766"/>
      <c r="F26" s="800"/>
      <c r="G26" s="785"/>
    </row>
    <row r="27" spans="1:7" x14ac:dyDescent="0.2">
      <c r="A27" s="796" t="s">
        <v>593</v>
      </c>
      <c r="B27" s="769">
        <f>'7. Energy'!B16</f>
        <v>1</v>
      </c>
      <c r="C27" s="804">
        <v>1</v>
      </c>
      <c r="D27" s="766" t="s">
        <v>443</v>
      </c>
      <c r="E27" s="766"/>
      <c r="F27" s="800"/>
      <c r="G27" s="785"/>
    </row>
    <row r="28" spans="1:7" x14ac:dyDescent="0.2">
      <c r="A28" s="796" t="s">
        <v>594</v>
      </c>
      <c r="B28" s="769">
        <f>'7. Energy'!B17</f>
        <v>0</v>
      </c>
      <c r="C28" s="804">
        <v>1</v>
      </c>
      <c r="D28" s="766" t="s">
        <v>38</v>
      </c>
      <c r="E28" s="766"/>
      <c r="F28" s="800"/>
      <c r="G28" s="785"/>
    </row>
    <row r="29" spans="1:7" x14ac:dyDescent="0.2">
      <c r="A29" s="796" t="s">
        <v>595</v>
      </c>
      <c r="B29" s="769">
        <f>'7. Energy'!B18</f>
        <v>0</v>
      </c>
      <c r="C29" s="804">
        <v>1</v>
      </c>
      <c r="D29" s="766" t="s">
        <v>39</v>
      </c>
      <c r="E29" s="766"/>
      <c r="F29" s="800"/>
      <c r="G29" s="785"/>
    </row>
    <row r="30" spans="1:7" x14ac:dyDescent="0.2">
      <c r="A30" s="796" t="s">
        <v>596</v>
      </c>
      <c r="B30" s="769">
        <f>'7. Energy'!B19</f>
        <v>0</v>
      </c>
      <c r="C30" s="804">
        <v>1</v>
      </c>
      <c r="D30" s="766" t="s">
        <v>40</v>
      </c>
      <c r="E30" s="766"/>
      <c r="F30" s="800"/>
      <c r="G30" s="785"/>
    </row>
    <row r="31" spans="1:7" x14ac:dyDescent="0.2">
      <c r="A31" s="796" t="s">
        <v>597</v>
      </c>
      <c r="B31" s="770">
        <f>'7. Energy'!B20</f>
        <v>0</v>
      </c>
      <c r="C31" s="797" t="s">
        <v>41</v>
      </c>
      <c r="D31" s="766" t="s">
        <v>42</v>
      </c>
      <c r="E31" s="766"/>
      <c r="F31" s="800"/>
      <c r="G31" s="785"/>
    </row>
    <row r="32" spans="1:7" x14ac:dyDescent="0.2">
      <c r="A32" s="799"/>
      <c r="B32" s="765"/>
      <c r="C32" s="765"/>
      <c r="D32" s="806">
        <f>'7. Energy'!D21</f>
        <v>0</v>
      </c>
      <c r="E32" s="807" t="s">
        <v>43</v>
      </c>
      <c r="F32" s="800"/>
      <c r="G32" s="785"/>
    </row>
    <row r="33" spans="1:7" x14ac:dyDescent="0.2">
      <c r="A33" s="796" t="s">
        <v>598</v>
      </c>
      <c r="B33" s="769">
        <f>'7. Energy'!B22</f>
        <v>0</v>
      </c>
      <c r="C33" s="804">
        <v>1</v>
      </c>
      <c r="D33" s="766" t="s">
        <v>44</v>
      </c>
      <c r="E33" s="766"/>
      <c r="F33" s="800"/>
      <c r="G33" s="785"/>
    </row>
    <row r="34" spans="1:7" x14ac:dyDescent="0.2">
      <c r="A34" s="796" t="s">
        <v>599</v>
      </c>
      <c r="B34" s="769">
        <f>'7. Energy'!B23</f>
        <v>0</v>
      </c>
      <c r="C34" s="804">
        <v>1</v>
      </c>
      <c r="D34" s="766" t="s">
        <v>45</v>
      </c>
      <c r="E34" s="766"/>
      <c r="F34" s="800"/>
      <c r="G34" s="785"/>
    </row>
    <row r="35" spans="1:7" x14ac:dyDescent="0.2">
      <c r="A35" s="796" t="s">
        <v>600</v>
      </c>
      <c r="B35" s="769">
        <f>'7. Energy'!B24</f>
        <v>0</v>
      </c>
      <c r="C35" s="804">
        <v>1</v>
      </c>
      <c r="D35" s="766" t="s">
        <v>556</v>
      </c>
      <c r="E35" s="766"/>
      <c r="F35" s="800"/>
      <c r="G35" s="785"/>
    </row>
    <row r="36" spans="1:7" x14ac:dyDescent="0.2">
      <c r="A36" s="824"/>
      <c r="B36" s="779"/>
      <c r="C36" s="804"/>
      <c r="D36" s="750">
        <f>'7. Energy'!D25</f>
        <v>0</v>
      </c>
      <c r="E36" s="767" t="s">
        <v>916</v>
      </c>
      <c r="F36" s="800"/>
      <c r="G36" s="785"/>
    </row>
    <row r="37" spans="1:7" x14ac:dyDescent="0.2">
      <c r="A37" s="796" t="s">
        <v>601</v>
      </c>
      <c r="B37" s="769">
        <f>'7. Energy'!B26</f>
        <v>2</v>
      </c>
      <c r="C37" s="797" t="s">
        <v>47</v>
      </c>
      <c r="D37" s="765" t="s">
        <v>48</v>
      </c>
      <c r="E37" s="765"/>
      <c r="F37" s="800"/>
      <c r="G37" s="785"/>
    </row>
    <row r="38" spans="1:7" x14ac:dyDescent="0.2">
      <c r="A38" s="799"/>
      <c r="B38" s="765"/>
      <c r="C38" s="765"/>
      <c r="D38" s="825" t="str">
        <f>'7. Energy'!D27</f>
        <v>Yes</v>
      </c>
      <c r="E38" s="765" t="s">
        <v>49</v>
      </c>
      <c r="F38" s="800"/>
      <c r="G38" s="785"/>
    </row>
    <row r="39" spans="1:7" x14ac:dyDescent="0.2">
      <c r="A39" s="799"/>
      <c r="B39" s="765"/>
      <c r="C39" s="765"/>
      <c r="D39" s="750">
        <f>'7. Energy'!D28</f>
        <v>80</v>
      </c>
      <c r="E39" s="767" t="s">
        <v>917</v>
      </c>
      <c r="F39" s="800"/>
      <c r="G39" s="785"/>
    </row>
    <row r="40" spans="1:7" x14ac:dyDescent="0.2">
      <c r="A40" s="799"/>
      <c r="B40" s="765"/>
      <c r="C40" s="765"/>
      <c r="D40" s="769" t="str">
        <f>'7. Energy'!D29</f>
        <v>Yes</v>
      </c>
      <c r="E40" s="765" t="s">
        <v>67</v>
      </c>
      <c r="F40" s="800"/>
      <c r="G40" s="785"/>
    </row>
    <row r="41" spans="1:7" x14ac:dyDescent="0.2">
      <c r="A41" s="799"/>
      <c r="B41" s="765"/>
      <c r="C41" s="765"/>
      <c r="D41" s="750">
        <f>'7. Energy'!D30</f>
        <v>80</v>
      </c>
      <c r="E41" s="767" t="s">
        <v>917</v>
      </c>
      <c r="F41" s="800"/>
      <c r="G41" s="785"/>
    </row>
    <row r="42" spans="1:7" x14ac:dyDescent="0.2">
      <c r="A42" s="796" t="s">
        <v>602</v>
      </c>
      <c r="B42" s="769">
        <f>'7. Energy'!B31</f>
        <v>1</v>
      </c>
      <c r="C42" s="804">
        <v>1</v>
      </c>
      <c r="D42" s="765" t="s">
        <v>50</v>
      </c>
      <c r="E42" s="765"/>
      <c r="F42" s="800"/>
      <c r="G42" s="785"/>
    </row>
    <row r="43" spans="1:7" x14ac:dyDescent="0.2">
      <c r="A43" s="796" t="s">
        <v>603</v>
      </c>
      <c r="B43" s="769">
        <f>'7. Energy'!B32</f>
        <v>0</v>
      </c>
      <c r="C43" s="804">
        <v>1</v>
      </c>
      <c r="D43" s="765" t="s">
        <v>52</v>
      </c>
      <c r="E43" s="765"/>
      <c r="F43" s="800"/>
      <c r="G43" s="785"/>
    </row>
    <row r="44" spans="1:7" x14ac:dyDescent="0.2">
      <c r="A44" s="796" t="s">
        <v>604</v>
      </c>
      <c r="B44" s="769">
        <f>'7. Energy'!B33</f>
        <v>0</v>
      </c>
      <c r="C44" s="804">
        <v>2</v>
      </c>
      <c r="D44" s="798" t="s">
        <v>462</v>
      </c>
      <c r="E44" s="798"/>
      <c r="F44" s="800"/>
      <c r="G44" s="785"/>
    </row>
    <row r="45" spans="1:7" x14ac:dyDescent="0.2">
      <c r="A45" s="796" t="s">
        <v>605</v>
      </c>
      <c r="B45" s="769" t="e">
        <f>'7. Energy'!#REF!</f>
        <v>#REF!</v>
      </c>
      <c r="C45" s="804">
        <v>1</v>
      </c>
      <c r="D45" s="765" t="s">
        <v>53</v>
      </c>
      <c r="E45" s="765"/>
      <c r="F45" s="800"/>
      <c r="G45" s="785"/>
    </row>
    <row r="46" spans="1:7" x14ac:dyDescent="0.2">
      <c r="A46" s="796" t="s">
        <v>606</v>
      </c>
      <c r="B46" s="769">
        <f>'7. Energy'!B34</f>
        <v>0</v>
      </c>
      <c r="C46" s="804">
        <v>1</v>
      </c>
      <c r="D46" s="798" t="s">
        <v>54</v>
      </c>
      <c r="E46" s="798"/>
      <c r="F46" s="800"/>
      <c r="G46" s="785"/>
    </row>
    <row r="47" spans="1:7" x14ac:dyDescent="0.2">
      <c r="A47" s="796" t="s">
        <v>607</v>
      </c>
      <c r="B47" s="769">
        <f>'7. Energy'!B35</f>
        <v>0</v>
      </c>
      <c r="C47" s="804">
        <v>1</v>
      </c>
      <c r="D47" s="760" t="s">
        <v>572</v>
      </c>
      <c r="E47" s="760"/>
      <c r="F47" s="800"/>
      <c r="G47" s="785"/>
    </row>
    <row r="48" spans="1:7" x14ac:dyDescent="0.2">
      <c r="A48" s="796" t="s">
        <v>608</v>
      </c>
      <c r="B48" s="769">
        <f>'7. Energy'!B36</f>
        <v>1</v>
      </c>
      <c r="C48" s="804">
        <v>1</v>
      </c>
      <c r="D48" s="760" t="s">
        <v>573</v>
      </c>
      <c r="E48" s="760"/>
      <c r="F48" s="800"/>
      <c r="G48" s="785"/>
    </row>
    <row r="49" spans="1:7" x14ac:dyDescent="0.2">
      <c r="A49" s="796" t="s">
        <v>609</v>
      </c>
      <c r="B49" s="769">
        <f>'7. Energy'!B37</f>
        <v>0</v>
      </c>
      <c r="C49" s="804">
        <v>1</v>
      </c>
      <c r="D49" s="760" t="s">
        <v>763</v>
      </c>
      <c r="E49" s="760"/>
      <c r="F49" s="800"/>
      <c r="G49" s="785"/>
    </row>
    <row r="50" spans="1:7" x14ac:dyDescent="0.2">
      <c r="A50" s="796" t="s">
        <v>610</v>
      </c>
      <c r="B50" s="769">
        <f>'7. Energy'!B38</f>
        <v>0</v>
      </c>
      <c r="C50" s="804">
        <v>1</v>
      </c>
      <c r="D50" s="765" t="s">
        <v>57</v>
      </c>
      <c r="E50" s="765"/>
      <c r="F50" s="800"/>
      <c r="G50" s="785"/>
    </row>
    <row r="51" spans="1:7" x14ac:dyDescent="0.2">
      <c r="A51" s="796" t="s">
        <v>611</v>
      </c>
      <c r="B51" s="769">
        <f>'7. Energy'!B39</f>
        <v>1</v>
      </c>
      <c r="C51" s="804">
        <v>1</v>
      </c>
      <c r="D51" s="765" t="s">
        <v>58</v>
      </c>
      <c r="E51" s="765"/>
      <c r="F51" s="800"/>
      <c r="G51" s="785"/>
    </row>
    <row r="52" spans="1:7" x14ac:dyDescent="0.2">
      <c r="A52" s="799"/>
      <c r="B52" s="765"/>
      <c r="C52" s="765"/>
      <c r="D52" s="769">
        <f>'7. Energy'!D40</f>
        <v>1804</v>
      </c>
      <c r="E52" s="808" t="s">
        <v>430</v>
      </c>
      <c r="F52" s="800"/>
      <c r="G52" s="785"/>
    </row>
    <row r="53" spans="1:7" x14ac:dyDescent="0.2">
      <c r="A53" s="799"/>
      <c r="B53" s="765"/>
      <c r="C53" s="765"/>
      <c r="D53" s="769">
        <f>'7. Energy'!D41</f>
        <v>1580</v>
      </c>
      <c r="E53" s="808" t="s">
        <v>431</v>
      </c>
      <c r="F53" s="800"/>
      <c r="G53" s="785"/>
    </row>
    <row r="54" spans="1:7" x14ac:dyDescent="0.2">
      <c r="A54" s="799"/>
      <c r="B54" s="765"/>
      <c r="C54" s="765"/>
      <c r="D54" s="769">
        <f>'7. Energy'!D42</f>
        <v>2</v>
      </c>
      <c r="E54" s="808" t="s">
        <v>432</v>
      </c>
      <c r="F54" s="800"/>
      <c r="G54" s="785"/>
    </row>
    <row r="55" spans="1:7" x14ac:dyDescent="0.2">
      <c r="A55" s="822" t="s">
        <v>843</v>
      </c>
      <c r="B55" s="769">
        <f>'7. Energy'!B43</f>
        <v>0</v>
      </c>
      <c r="C55" s="804">
        <v>1</v>
      </c>
      <c r="D55" s="765" t="s">
        <v>444</v>
      </c>
      <c r="E55" s="765"/>
      <c r="F55" s="800"/>
      <c r="G55" s="785"/>
    </row>
    <row r="56" spans="1:7" x14ac:dyDescent="0.2">
      <c r="A56" s="796" t="s">
        <v>612</v>
      </c>
      <c r="B56" s="769">
        <f>'7. Energy'!B44</f>
        <v>0</v>
      </c>
      <c r="C56" s="804">
        <v>2</v>
      </c>
      <c r="D56" s="765" t="s">
        <v>60</v>
      </c>
      <c r="E56" s="765"/>
      <c r="F56" s="800"/>
      <c r="G56" s="785"/>
    </row>
    <row r="57" spans="1:7" x14ac:dyDescent="0.2">
      <c r="A57" s="796" t="s">
        <v>613</v>
      </c>
      <c r="B57" s="769">
        <f>'7. Energy'!B45</f>
        <v>3</v>
      </c>
      <c r="C57" s="804">
        <v>3</v>
      </c>
      <c r="D57" s="765" t="s">
        <v>465</v>
      </c>
      <c r="E57" s="765"/>
      <c r="F57" s="800"/>
      <c r="G57" s="785"/>
    </row>
    <row r="58" spans="1:7" ht="15" customHeight="1" x14ac:dyDescent="0.2">
      <c r="A58" s="796" t="s">
        <v>614</v>
      </c>
      <c r="B58" s="769">
        <f>'7. Energy'!B46</f>
        <v>2</v>
      </c>
      <c r="C58" s="804">
        <v>2</v>
      </c>
      <c r="D58" s="765" t="s">
        <v>61</v>
      </c>
      <c r="E58" s="765"/>
      <c r="F58" s="800"/>
      <c r="G58" s="785"/>
    </row>
    <row r="59" spans="1:7" x14ac:dyDescent="0.2">
      <c r="A59" s="796" t="s">
        <v>893</v>
      </c>
      <c r="B59" s="769">
        <f>'7. Energy'!B47</f>
        <v>0</v>
      </c>
      <c r="C59" s="804">
        <v>1</v>
      </c>
      <c r="D59" s="870" t="s">
        <v>894</v>
      </c>
      <c r="E59" s="766"/>
      <c r="F59" s="800"/>
      <c r="G59" s="785"/>
    </row>
    <row r="60" spans="1:7" ht="16" x14ac:dyDescent="0.2">
      <c r="A60" s="809"/>
      <c r="B60" s="771">
        <f>'7. Energy'!B49</f>
        <v>43</v>
      </c>
      <c r="C60" s="810">
        <v>112</v>
      </c>
      <c r="D60" s="811" t="s">
        <v>62</v>
      </c>
      <c r="E60" s="811"/>
      <c r="F60" s="800"/>
      <c r="G60" s="785"/>
    </row>
    <row r="61" spans="1:7" ht="16" x14ac:dyDescent="0.2">
      <c r="A61" s="809"/>
      <c r="B61" s="765"/>
      <c r="C61" s="765"/>
      <c r="D61" s="765"/>
      <c r="E61" s="765"/>
      <c r="F61" s="800"/>
      <c r="G61" s="785"/>
    </row>
    <row r="62" spans="1:7" ht="21" customHeight="1" x14ac:dyDescent="0.25">
      <c r="A62" s="809"/>
      <c r="B62" s="772">
        <f>'7. Energy'!B51</f>
        <v>43</v>
      </c>
      <c r="C62" s="812" t="s">
        <v>63</v>
      </c>
      <c r="D62" s="812"/>
      <c r="E62" s="812"/>
      <c r="F62" s="800"/>
      <c r="G62" s="785"/>
    </row>
    <row r="63" spans="1:7" x14ac:dyDescent="0.2">
      <c r="A63" s="813" t="s">
        <v>64</v>
      </c>
      <c r="B63" s="814"/>
      <c r="C63" s="814"/>
      <c r="D63" s="1476">
        <f>'7. Energy'!E53</f>
        <v>0</v>
      </c>
      <c r="E63" s="1476"/>
      <c r="F63" s="1476"/>
      <c r="G63" s="1477"/>
    </row>
    <row r="64" spans="1:7" ht="16" thickBot="1" x14ac:dyDescent="0.25">
      <c r="A64" s="815" t="s">
        <v>65</v>
      </c>
      <c r="B64" s="816"/>
      <c r="C64" s="816"/>
      <c r="D64" s="1480">
        <f>'7. Energy'!E54</f>
        <v>0</v>
      </c>
      <c r="E64" s="1480"/>
      <c r="F64" s="1480"/>
      <c r="G64" s="1481"/>
    </row>
    <row r="65" spans="1:7" ht="19" x14ac:dyDescent="0.25">
      <c r="A65" s="780" t="s">
        <v>776</v>
      </c>
      <c r="B65" s="781"/>
      <c r="C65" s="781"/>
      <c r="D65" s="781"/>
      <c r="E65" s="781"/>
      <c r="F65" s="781"/>
      <c r="G65" s="783"/>
    </row>
    <row r="66" spans="1:7" ht="16" x14ac:dyDescent="0.2">
      <c r="A66" s="817" t="s">
        <v>149</v>
      </c>
      <c r="B66" s="818"/>
      <c r="C66" s="818"/>
      <c r="D66" s="818"/>
      <c r="E66" s="818"/>
      <c r="F66" s="818"/>
      <c r="G66" s="785"/>
    </row>
    <row r="67" spans="1:7" ht="16" x14ac:dyDescent="0.2">
      <c r="A67" s="819" t="str">
        <f>'8. Water'!A3</f>
        <v>N/A</v>
      </c>
      <c r="B67" s="820"/>
      <c r="C67" s="821" t="s">
        <v>20</v>
      </c>
      <c r="D67" s="821"/>
      <c r="E67" s="821"/>
      <c r="F67" s="821"/>
      <c r="G67" s="785"/>
    </row>
    <row r="68" spans="1:7" ht="16" x14ac:dyDescent="0.2">
      <c r="A68" s="777" t="s">
        <v>777</v>
      </c>
      <c r="B68" s="775"/>
      <c r="C68" s="775"/>
      <c r="D68" s="775"/>
      <c r="E68" s="775"/>
      <c r="F68" s="795"/>
      <c r="G68" s="785"/>
    </row>
    <row r="69" spans="1:7" x14ac:dyDescent="0.2">
      <c r="A69" s="822" t="s">
        <v>615</v>
      </c>
      <c r="B69" s="769">
        <f>'8. Water'!B6</f>
        <v>3</v>
      </c>
      <c r="C69" s="823" t="s">
        <v>72</v>
      </c>
      <c r="D69" s="760" t="s">
        <v>73</v>
      </c>
      <c r="E69" s="760"/>
      <c r="F69" s="762"/>
      <c r="G69" s="785"/>
    </row>
    <row r="70" spans="1:7" x14ac:dyDescent="0.2">
      <c r="A70" s="824"/>
      <c r="B70" s="763"/>
      <c r="C70" s="763"/>
      <c r="D70" s="769" t="e">
        <f>'8. Water'!#REF!</f>
        <v>#REF!</v>
      </c>
      <c r="E70" s="800" t="s">
        <v>74</v>
      </c>
      <c r="F70" s="762"/>
      <c r="G70" s="785"/>
    </row>
    <row r="71" spans="1:7" x14ac:dyDescent="0.2">
      <c r="A71" s="822" t="s">
        <v>616</v>
      </c>
      <c r="B71" s="769">
        <f>'8. Water'!B7</f>
        <v>1</v>
      </c>
      <c r="C71" s="805">
        <v>1</v>
      </c>
      <c r="D71" s="760" t="s">
        <v>931</v>
      </c>
      <c r="E71" s="760"/>
      <c r="F71" s="762"/>
      <c r="G71" s="785"/>
    </row>
    <row r="72" spans="1:7" x14ac:dyDescent="0.2">
      <c r="A72" s="822" t="s">
        <v>617</v>
      </c>
      <c r="B72" s="769">
        <f>'8. Water'!B8</f>
        <v>1</v>
      </c>
      <c r="C72" s="805">
        <v>1</v>
      </c>
      <c r="D72" s="760" t="s">
        <v>76</v>
      </c>
      <c r="E72" s="760"/>
      <c r="F72" s="762"/>
      <c r="G72" s="785"/>
    </row>
    <row r="73" spans="1:7" x14ac:dyDescent="0.2">
      <c r="A73" s="822" t="s">
        <v>618</v>
      </c>
      <c r="B73" s="769" t="e">
        <f>'8. Water'!#REF!</f>
        <v>#REF!</v>
      </c>
      <c r="C73" s="805">
        <v>1</v>
      </c>
      <c r="D73" s="760" t="s">
        <v>557</v>
      </c>
      <c r="E73" s="760"/>
      <c r="F73" s="762"/>
      <c r="G73" s="785"/>
    </row>
    <row r="74" spans="1:7" x14ac:dyDescent="0.2">
      <c r="A74" s="822" t="s">
        <v>619</v>
      </c>
      <c r="B74" s="769">
        <f>'8. Water'!B9</f>
        <v>1</v>
      </c>
      <c r="C74" s="823" t="s">
        <v>47</v>
      </c>
      <c r="D74" s="760" t="s">
        <v>771</v>
      </c>
      <c r="E74" s="760"/>
      <c r="F74" s="762"/>
      <c r="G74" s="785"/>
    </row>
    <row r="75" spans="1:7" x14ac:dyDescent="0.2">
      <c r="A75" s="822" t="s">
        <v>620</v>
      </c>
      <c r="B75" s="769">
        <f>'8. Water'!B10</f>
        <v>2</v>
      </c>
      <c r="C75" s="805">
        <v>2</v>
      </c>
      <c r="D75" s="760" t="s">
        <v>772</v>
      </c>
      <c r="E75" s="760"/>
      <c r="F75" s="762"/>
      <c r="G75" s="785"/>
    </row>
    <row r="76" spans="1:7" x14ac:dyDescent="0.2">
      <c r="A76" s="822" t="s">
        <v>621</v>
      </c>
      <c r="B76" s="769">
        <f>'8. Water'!B12</f>
        <v>0</v>
      </c>
      <c r="C76" s="805">
        <v>1</v>
      </c>
      <c r="D76" s="760" t="s">
        <v>558</v>
      </c>
      <c r="E76" s="760"/>
      <c r="F76" s="762"/>
      <c r="G76" s="785"/>
    </row>
    <row r="77" spans="1:7" ht="16" x14ac:dyDescent="0.2">
      <c r="A77" s="777" t="s">
        <v>778</v>
      </c>
      <c r="B77" s="775"/>
      <c r="C77" s="775"/>
      <c r="D77" s="775"/>
      <c r="E77" s="775"/>
      <c r="F77" s="795"/>
      <c r="G77" s="785"/>
    </row>
    <row r="78" spans="1:7" x14ac:dyDescent="0.2">
      <c r="A78" s="796" t="s">
        <v>622</v>
      </c>
      <c r="B78" s="769">
        <f>'8. Water'!B15</f>
        <v>0</v>
      </c>
      <c r="C78" s="805">
        <v>3</v>
      </c>
      <c r="D78" s="760" t="s">
        <v>81</v>
      </c>
      <c r="E78" s="760"/>
      <c r="F78" s="762"/>
      <c r="G78" s="785"/>
    </row>
    <row r="79" spans="1:7" x14ac:dyDescent="0.2">
      <c r="A79" s="796" t="s">
        <v>623</v>
      </c>
      <c r="B79" s="769" t="e">
        <f>'8. Water'!#REF!</f>
        <v>#REF!</v>
      </c>
      <c r="C79" s="805">
        <v>2</v>
      </c>
      <c r="D79" s="760" t="s">
        <v>82</v>
      </c>
      <c r="E79" s="760"/>
      <c r="F79" s="762"/>
      <c r="G79" s="785"/>
    </row>
    <row r="80" spans="1:7" x14ac:dyDescent="0.2">
      <c r="A80" s="796" t="s">
        <v>624</v>
      </c>
      <c r="B80" s="769" t="e">
        <f>'8. Water'!#REF!</f>
        <v>#REF!</v>
      </c>
      <c r="C80" s="805">
        <v>1</v>
      </c>
      <c r="D80" s="760" t="s">
        <v>467</v>
      </c>
      <c r="E80" s="760"/>
      <c r="F80" s="762"/>
      <c r="G80" s="785"/>
    </row>
    <row r="81" spans="1:7" ht="16" x14ac:dyDescent="0.2">
      <c r="A81" s="777" t="s">
        <v>779</v>
      </c>
      <c r="B81" s="775"/>
      <c r="C81" s="775"/>
      <c r="D81" s="775"/>
      <c r="E81" s="775"/>
      <c r="F81" s="795"/>
      <c r="G81" s="785"/>
    </row>
    <row r="82" spans="1:7" x14ac:dyDescent="0.2">
      <c r="A82" s="824" t="s">
        <v>625</v>
      </c>
      <c r="B82" s="769">
        <f>'8. Water'!B18</f>
        <v>0</v>
      </c>
      <c r="C82" s="805" t="s">
        <v>933</v>
      </c>
      <c r="D82" s="760" t="s">
        <v>920</v>
      </c>
      <c r="E82" s="760"/>
      <c r="F82" s="762"/>
      <c r="G82" s="785"/>
    </row>
    <row r="83" spans="1:7" ht="16" x14ac:dyDescent="0.2">
      <c r="A83" s="777" t="s">
        <v>780</v>
      </c>
      <c r="B83" s="775"/>
      <c r="C83" s="775"/>
      <c r="D83" s="775"/>
      <c r="E83" s="775"/>
      <c r="F83" s="795"/>
      <c r="G83" s="785"/>
    </row>
    <row r="84" spans="1:7" x14ac:dyDescent="0.2">
      <c r="A84" s="822" t="s">
        <v>626</v>
      </c>
      <c r="B84" s="769">
        <f>'8. Water'!B21</f>
        <v>0</v>
      </c>
      <c r="C84" s="805">
        <v>2</v>
      </c>
      <c r="D84" s="760" t="s">
        <v>88</v>
      </c>
      <c r="E84" s="760"/>
      <c r="F84" s="762"/>
      <c r="G84" s="785"/>
    </row>
    <row r="85" spans="1:7" x14ac:dyDescent="0.2">
      <c r="A85" s="822" t="s">
        <v>627</v>
      </c>
      <c r="B85" s="769">
        <f>'8. Water'!B22</f>
        <v>0</v>
      </c>
      <c r="C85" s="805">
        <v>2</v>
      </c>
      <c r="D85" s="760" t="s">
        <v>89</v>
      </c>
      <c r="E85" s="760"/>
      <c r="F85" s="762"/>
      <c r="G85" s="785"/>
    </row>
    <row r="86" spans="1:7" x14ac:dyDescent="0.2">
      <c r="A86" s="822" t="s">
        <v>628</v>
      </c>
      <c r="B86" s="769">
        <f>'8. Water'!B23</f>
        <v>0</v>
      </c>
      <c r="C86" s="805">
        <v>2</v>
      </c>
      <c r="D86" s="760" t="s">
        <v>496</v>
      </c>
      <c r="E86" s="760"/>
      <c r="F86" s="762"/>
      <c r="G86" s="785"/>
    </row>
    <row r="87" spans="1:7" x14ac:dyDescent="0.2">
      <c r="A87" s="822" t="s">
        <v>629</v>
      </c>
      <c r="B87" s="769">
        <f>'8. Water'!B24</f>
        <v>0</v>
      </c>
      <c r="C87" s="805">
        <v>2</v>
      </c>
      <c r="D87" s="760" t="s">
        <v>91</v>
      </c>
      <c r="E87" s="760"/>
      <c r="F87" s="762"/>
      <c r="G87" s="785"/>
    </row>
    <row r="88" spans="1:7" ht="16" x14ac:dyDescent="0.2">
      <c r="A88" s="777" t="s">
        <v>781</v>
      </c>
      <c r="B88" s="775"/>
      <c r="C88" s="775"/>
      <c r="D88" s="775"/>
      <c r="E88" s="775"/>
      <c r="F88" s="795"/>
      <c r="G88" s="785"/>
    </row>
    <row r="89" spans="1:7" x14ac:dyDescent="0.2">
      <c r="A89" s="796" t="s">
        <v>630</v>
      </c>
      <c r="B89" s="773">
        <f>'8. Water'!B27</f>
        <v>3</v>
      </c>
      <c r="C89" s="805">
        <v>2</v>
      </c>
      <c r="D89" s="803" t="s">
        <v>497</v>
      </c>
      <c r="E89" s="803"/>
      <c r="F89" s="762"/>
      <c r="G89" s="785"/>
    </row>
    <row r="90" spans="1:7" x14ac:dyDescent="0.2">
      <c r="A90" s="796" t="s">
        <v>631</v>
      </c>
      <c r="B90" s="769">
        <f>'8. Water'!B28</f>
        <v>0</v>
      </c>
      <c r="C90" s="823" t="s">
        <v>93</v>
      </c>
      <c r="D90" s="803" t="s">
        <v>559</v>
      </c>
      <c r="E90" s="803"/>
      <c r="F90" s="762"/>
      <c r="G90" s="785"/>
    </row>
    <row r="91" spans="1:7" x14ac:dyDescent="0.2">
      <c r="A91" s="799"/>
      <c r="B91" s="765"/>
      <c r="C91" s="765"/>
      <c r="D91" s="825" t="str">
        <f>'8. Water'!D29</f>
        <v>-</v>
      </c>
      <c r="E91" s="762" t="s">
        <v>94</v>
      </c>
      <c r="F91" s="762"/>
      <c r="G91" s="785"/>
    </row>
    <row r="92" spans="1:7" x14ac:dyDescent="0.2">
      <c r="A92" s="822" t="s">
        <v>632</v>
      </c>
      <c r="B92" s="773">
        <f>'8. Water'!B30</f>
        <v>0</v>
      </c>
      <c r="C92" s="805">
        <v>2</v>
      </c>
      <c r="D92" s="803" t="s">
        <v>95</v>
      </c>
      <c r="E92" s="803"/>
      <c r="F92" s="762"/>
      <c r="G92" s="785"/>
    </row>
    <row r="93" spans="1:7" x14ac:dyDescent="0.2">
      <c r="A93" s="822" t="s">
        <v>633</v>
      </c>
      <c r="B93" s="769">
        <f>'8. Water'!B31</f>
        <v>0</v>
      </c>
      <c r="C93" s="805">
        <v>3</v>
      </c>
      <c r="D93" s="760" t="s">
        <v>96</v>
      </c>
      <c r="E93" s="760"/>
      <c r="F93" s="762"/>
      <c r="G93" s="785"/>
    </row>
    <row r="94" spans="1:7" x14ac:dyDescent="0.2">
      <c r="A94" s="822" t="s">
        <v>634</v>
      </c>
      <c r="B94" s="769">
        <f>'8. Water'!B32</f>
        <v>0</v>
      </c>
      <c r="C94" s="805">
        <v>2</v>
      </c>
      <c r="D94" s="760" t="s">
        <v>97</v>
      </c>
      <c r="E94" s="760"/>
      <c r="F94" s="762"/>
      <c r="G94" s="785"/>
    </row>
    <row r="95" spans="1:7" x14ac:dyDescent="0.2">
      <c r="A95" s="822" t="s">
        <v>635</v>
      </c>
      <c r="B95" s="773">
        <f>'8. Water'!B33</f>
        <v>0</v>
      </c>
      <c r="C95" s="805">
        <v>2</v>
      </c>
      <c r="D95" s="803" t="s">
        <v>98</v>
      </c>
      <c r="E95" s="803"/>
      <c r="F95" s="762"/>
      <c r="G95" s="785"/>
    </row>
    <row r="96" spans="1:7" x14ac:dyDescent="0.2">
      <c r="A96" s="822" t="s">
        <v>636</v>
      </c>
      <c r="B96" s="769">
        <f>'8. Water'!B34</f>
        <v>0</v>
      </c>
      <c r="C96" s="805">
        <v>1</v>
      </c>
      <c r="D96" s="760" t="s">
        <v>560</v>
      </c>
      <c r="E96" s="760"/>
      <c r="F96" s="762"/>
      <c r="G96" s="785"/>
    </row>
    <row r="97" spans="1:7" x14ac:dyDescent="0.2">
      <c r="A97" s="822" t="s">
        <v>637</v>
      </c>
      <c r="B97" s="769">
        <f>'8. Water'!B35</f>
        <v>0</v>
      </c>
      <c r="C97" s="805">
        <v>1</v>
      </c>
      <c r="D97" s="760" t="s">
        <v>100</v>
      </c>
      <c r="E97" s="760"/>
      <c r="F97" s="762"/>
      <c r="G97" s="785"/>
    </row>
    <row r="98" spans="1:7" x14ac:dyDescent="0.2">
      <c r="A98" s="822" t="s">
        <v>638</v>
      </c>
      <c r="B98" s="769">
        <f>'8. Water'!B36</f>
        <v>0</v>
      </c>
      <c r="C98" s="805">
        <v>2</v>
      </c>
      <c r="D98" s="760" t="s">
        <v>101</v>
      </c>
      <c r="E98" s="760"/>
      <c r="F98" s="762"/>
      <c r="G98" s="785"/>
    </row>
    <row r="99" spans="1:7" ht="16" x14ac:dyDescent="0.2">
      <c r="A99" s="826" t="s">
        <v>782</v>
      </c>
      <c r="B99" s="827"/>
      <c r="C99" s="827"/>
      <c r="D99" s="827"/>
      <c r="E99" s="827"/>
      <c r="F99" s="795"/>
      <c r="G99" s="785"/>
    </row>
    <row r="100" spans="1:7" x14ac:dyDescent="0.2">
      <c r="A100" s="796" t="s">
        <v>639</v>
      </c>
      <c r="B100" s="773">
        <f>'8. Water'!B39</f>
        <v>0</v>
      </c>
      <c r="C100" s="828">
        <v>10</v>
      </c>
      <c r="D100" s="787" t="s">
        <v>102</v>
      </c>
      <c r="E100" s="803"/>
      <c r="F100" s="762"/>
      <c r="G100" s="785"/>
    </row>
    <row r="101" spans="1:7" ht="15" customHeight="1" x14ac:dyDescent="0.2">
      <c r="A101" s="796" t="s">
        <v>640</v>
      </c>
      <c r="B101" s="769">
        <f>'8. Water'!B40</f>
        <v>0</v>
      </c>
      <c r="C101" s="805">
        <v>2</v>
      </c>
      <c r="D101" s="760" t="s">
        <v>103</v>
      </c>
      <c r="E101" s="760"/>
      <c r="F101" s="762"/>
      <c r="G101" s="785"/>
    </row>
    <row r="102" spans="1:7" x14ac:dyDescent="0.2">
      <c r="A102" s="799"/>
      <c r="B102" s="765"/>
      <c r="C102" s="765"/>
      <c r="D102" s="765"/>
      <c r="E102" s="765"/>
      <c r="F102" s="762"/>
      <c r="G102" s="785"/>
    </row>
    <row r="103" spans="1:7" x14ac:dyDescent="0.2">
      <c r="A103" s="822" t="s">
        <v>641</v>
      </c>
      <c r="B103" s="773">
        <f>'8. Water'!B42</f>
        <v>0</v>
      </c>
      <c r="C103" s="823" t="s">
        <v>104</v>
      </c>
      <c r="D103" s="803" t="s">
        <v>105</v>
      </c>
      <c r="E103" s="803"/>
      <c r="F103" s="762"/>
      <c r="G103" s="785"/>
    </row>
    <row r="104" spans="1:7" x14ac:dyDescent="0.2">
      <c r="A104" s="799"/>
      <c r="B104" s="765"/>
      <c r="C104" s="1923" t="s">
        <v>516</v>
      </c>
      <c r="D104" s="829" t="e">
        <f>'8. Water'!#REF!</f>
        <v>#REF!</v>
      </c>
      <c r="E104" s="761" t="s">
        <v>498</v>
      </c>
      <c r="F104" s="762"/>
      <c r="G104" s="785"/>
    </row>
    <row r="105" spans="1:7" x14ac:dyDescent="0.2">
      <c r="A105" s="799"/>
      <c r="B105" s="765"/>
      <c r="C105" s="1923"/>
      <c r="D105" s="769" t="str">
        <f>'8. Water'!D43</f>
        <v>-</v>
      </c>
      <c r="E105" s="760" t="s">
        <v>507</v>
      </c>
      <c r="F105" s="762"/>
      <c r="G105" s="785"/>
    </row>
    <row r="106" spans="1:7" x14ac:dyDescent="0.2">
      <c r="A106" s="799"/>
      <c r="B106" s="765"/>
      <c r="C106" s="1923"/>
      <c r="D106" s="769" t="str">
        <f>'8. Water'!D44</f>
        <v>-</v>
      </c>
      <c r="E106" s="760" t="s">
        <v>508</v>
      </c>
      <c r="F106" s="762"/>
      <c r="G106" s="785"/>
    </row>
    <row r="107" spans="1:7" x14ac:dyDescent="0.2">
      <c r="A107" s="799"/>
      <c r="B107" s="765"/>
      <c r="C107" s="1923"/>
      <c r="D107" s="769" t="str">
        <f>'8. Water'!D45</f>
        <v>-</v>
      </c>
      <c r="E107" s="760" t="s">
        <v>509</v>
      </c>
      <c r="F107" s="762"/>
      <c r="G107" s="785"/>
    </row>
    <row r="108" spans="1:7" x14ac:dyDescent="0.2">
      <c r="A108" s="799"/>
      <c r="B108" s="765"/>
      <c r="C108" s="1923"/>
      <c r="D108" s="769">
        <f>'8. Water'!D46</f>
        <v>0</v>
      </c>
      <c r="E108" s="760" t="s">
        <v>561</v>
      </c>
      <c r="F108" s="762"/>
      <c r="G108" s="785"/>
    </row>
    <row r="109" spans="1:7" x14ac:dyDescent="0.2">
      <c r="A109" s="799"/>
      <c r="B109" s="765"/>
      <c r="C109" s="1923"/>
      <c r="D109" s="769" t="str">
        <f>'8. Water'!D47</f>
        <v>-</v>
      </c>
      <c r="E109" s="784" t="s">
        <v>510</v>
      </c>
      <c r="F109" s="762"/>
      <c r="G109" s="785"/>
    </row>
    <row r="110" spans="1:7" x14ac:dyDescent="0.2">
      <c r="A110" s="799"/>
      <c r="B110" s="765"/>
      <c r="C110" s="1923"/>
      <c r="D110" s="769" t="e">
        <f>'8. Water'!#REF!</f>
        <v>#REF!</v>
      </c>
      <c r="E110" s="760" t="s">
        <v>511</v>
      </c>
      <c r="F110" s="762"/>
      <c r="G110" s="785"/>
    </row>
    <row r="111" spans="1:7" x14ac:dyDescent="0.2">
      <c r="A111" s="799"/>
      <c r="B111" s="765"/>
      <c r="C111" s="1923"/>
      <c r="D111" s="769" t="e">
        <f>'8. Water'!#REF!</f>
        <v>#REF!</v>
      </c>
      <c r="E111" s="760" t="s">
        <v>512</v>
      </c>
      <c r="F111" s="762"/>
      <c r="G111" s="785"/>
    </row>
    <row r="112" spans="1:7" x14ac:dyDescent="0.2">
      <c r="A112" s="799"/>
      <c r="B112" s="765"/>
      <c r="C112" s="1923"/>
      <c r="D112" s="769" t="e">
        <f>'8. Water'!#REF!</f>
        <v>#REF!</v>
      </c>
      <c r="E112" s="760" t="s">
        <v>513</v>
      </c>
      <c r="F112" s="762"/>
      <c r="G112" s="785"/>
    </row>
    <row r="113" spans="1:7" x14ac:dyDescent="0.2">
      <c r="A113" s="799"/>
      <c r="B113" s="765"/>
      <c r="C113" s="1923"/>
      <c r="D113" s="769" t="e">
        <f>'8. Water'!#REF!</f>
        <v>#REF!</v>
      </c>
      <c r="E113" s="760" t="s">
        <v>750</v>
      </c>
      <c r="F113" s="762"/>
      <c r="G113" s="785"/>
    </row>
    <row r="114" spans="1:7" x14ac:dyDescent="0.2">
      <c r="A114" s="822" t="s">
        <v>642</v>
      </c>
      <c r="B114" s="769">
        <f>'8. Water'!B54</f>
        <v>0</v>
      </c>
      <c r="C114" s="805">
        <v>1</v>
      </c>
      <c r="D114" s="765"/>
      <c r="E114" s="765"/>
      <c r="F114" s="762"/>
      <c r="G114" s="785"/>
    </row>
    <row r="115" spans="1:7" x14ac:dyDescent="0.2">
      <c r="A115" s="799"/>
      <c r="B115" s="830" t="s">
        <v>365</v>
      </c>
      <c r="C115" s="769" t="e">
        <f>'8. Water'!#REF!</f>
        <v>#REF!</v>
      </c>
      <c r="D115" s="760" t="s">
        <v>571</v>
      </c>
      <c r="E115" s="760"/>
      <c r="F115" s="762"/>
      <c r="G115" s="785"/>
    </row>
    <row r="116" spans="1:7" x14ac:dyDescent="0.2">
      <c r="A116" s="799"/>
      <c r="B116" s="830"/>
      <c r="C116" s="769" t="e">
        <f>'8. Water'!#REF!</f>
        <v>#REF!</v>
      </c>
      <c r="D116" s="760" t="s">
        <v>502</v>
      </c>
      <c r="E116" s="760"/>
      <c r="F116" s="762"/>
      <c r="G116" s="785"/>
    </row>
    <row r="117" spans="1:7" ht="16" x14ac:dyDescent="0.2">
      <c r="A117" s="826" t="s">
        <v>783</v>
      </c>
      <c r="B117" s="827"/>
      <c r="C117" s="827"/>
      <c r="D117" s="827"/>
      <c r="E117" s="827"/>
      <c r="F117" s="795"/>
      <c r="G117" s="785"/>
    </row>
    <row r="118" spans="1:7" x14ac:dyDescent="0.2">
      <c r="A118" s="822" t="s">
        <v>748</v>
      </c>
      <c r="B118" s="769">
        <f>'8. Water'!B60</f>
        <v>0</v>
      </c>
      <c r="C118" s="805">
        <v>5</v>
      </c>
      <c r="D118" s="831" t="s">
        <v>760</v>
      </c>
      <c r="E118" s="831"/>
      <c r="F118" s="762"/>
      <c r="G118" s="785"/>
    </row>
    <row r="119" spans="1:7" x14ac:dyDescent="0.2">
      <c r="A119" s="822" t="s">
        <v>749</v>
      </c>
      <c r="B119" s="769">
        <f>'8. Water'!B61</f>
        <v>0</v>
      </c>
      <c r="C119" s="805">
        <v>2</v>
      </c>
      <c r="D119" s="831" t="s">
        <v>934</v>
      </c>
      <c r="E119" s="831"/>
      <c r="F119" s="762"/>
      <c r="G119" s="785"/>
    </row>
    <row r="120" spans="1:7" x14ac:dyDescent="0.2">
      <c r="A120" s="799"/>
      <c r="B120" s="769">
        <f>'8. Water'!B62</f>
        <v>12</v>
      </c>
      <c r="C120" s="832">
        <v>69</v>
      </c>
      <c r="D120" s="800" t="s">
        <v>111</v>
      </c>
      <c r="E120" s="800"/>
      <c r="F120" s="760"/>
      <c r="G120" s="785"/>
    </row>
    <row r="121" spans="1:7" x14ac:dyDescent="0.2">
      <c r="A121" s="799"/>
      <c r="B121" s="765"/>
      <c r="C121" s="765"/>
      <c r="D121" s="765"/>
      <c r="E121" s="765"/>
      <c r="F121" s="760"/>
      <c r="G121" s="785"/>
    </row>
    <row r="122" spans="1:7" ht="19" x14ac:dyDescent="0.25">
      <c r="A122" s="799"/>
      <c r="B122" s="772">
        <f>'8. Water'!B64</f>
        <v>12</v>
      </c>
      <c r="C122" s="833" t="s">
        <v>112</v>
      </c>
      <c r="D122" s="833"/>
      <c r="E122" s="833"/>
      <c r="F122" s="760"/>
      <c r="G122" s="785"/>
    </row>
    <row r="123" spans="1:7" ht="21" customHeight="1" x14ac:dyDescent="0.2">
      <c r="A123" s="834" t="s">
        <v>113</v>
      </c>
      <c r="B123" s="835"/>
      <c r="C123" s="835"/>
      <c r="D123" s="1476">
        <f>'8. Water'!E66</f>
        <v>0</v>
      </c>
      <c r="E123" s="1476"/>
      <c r="F123" s="1476"/>
      <c r="G123" s="1477"/>
    </row>
    <row r="124" spans="1:7" x14ac:dyDescent="0.2">
      <c r="A124" s="834" t="s">
        <v>784</v>
      </c>
      <c r="B124" s="835"/>
      <c r="C124" s="835"/>
      <c r="D124" s="1478">
        <f>'8. Water'!E67</f>
        <v>0</v>
      </c>
      <c r="E124" s="1478"/>
      <c r="F124" s="1478"/>
      <c r="G124" s="1479"/>
    </row>
    <row r="125" spans="1:7" ht="16" thickBot="1" x14ac:dyDescent="0.25">
      <c r="A125" s="836" t="s">
        <v>494</v>
      </c>
      <c r="B125" s="837"/>
      <c r="C125" s="837"/>
      <c r="D125" s="1480">
        <f>'8. Water'!E68</f>
        <v>0</v>
      </c>
      <c r="E125" s="1480"/>
      <c r="F125" s="1480"/>
      <c r="G125" s="1481"/>
    </row>
    <row r="126" spans="1:7" ht="19" x14ac:dyDescent="0.25">
      <c r="A126" s="780" t="s">
        <v>786</v>
      </c>
      <c r="B126" s="781"/>
      <c r="C126" s="781"/>
      <c r="D126" s="781"/>
      <c r="E126" s="781"/>
      <c r="F126" s="781"/>
      <c r="G126" s="838"/>
    </row>
    <row r="127" spans="1:7" ht="16" x14ac:dyDescent="0.2">
      <c r="A127" s="794" t="s">
        <v>162</v>
      </c>
      <c r="B127" s="778"/>
      <c r="C127" s="778"/>
      <c r="D127" s="778"/>
      <c r="E127" s="778"/>
      <c r="F127" s="778"/>
      <c r="G127" s="839"/>
    </row>
    <row r="128" spans="1:7" x14ac:dyDescent="0.2">
      <c r="A128" s="822" t="s">
        <v>643</v>
      </c>
      <c r="B128" s="769">
        <f>'9. Lot Choice'!B5</f>
        <v>0</v>
      </c>
      <c r="C128" s="797" t="s">
        <v>150</v>
      </c>
      <c r="D128" s="765" t="s">
        <v>151</v>
      </c>
      <c r="E128" s="765"/>
      <c r="F128" s="765"/>
      <c r="G128" s="840"/>
    </row>
    <row r="129" spans="1:7" x14ac:dyDescent="0.2">
      <c r="A129" s="799"/>
      <c r="B129" s="765"/>
      <c r="C129" s="765"/>
      <c r="D129" s="769">
        <f>'9. Lot Choice'!D6</f>
        <v>0</v>
      </c>
      <c r="E129" s="841">
        <f>'9. Lot Choice'!E6</f>
        <v>0</v>
      </c>
      <c r="F129" s="842" t="s">
        <v>785</v>
      </c>
      <c r="G129" s="843"/>
    </row>
    <row r="130" spans="1:7" x14ac:dyDescent="0.2">
      <c r="A130" s="799"/>
      <c r="B130" s="765"/>
      <c r="C130" s="765"/>
      <c r="D130" s="769" t="e">
        <f>'9. Lot Choice'!#REF!</f>
        <v>#REF!</v>
      </c>
      <c r="E130" s="765" t="s">
        <v>152</v>
      </c>
      <c r="F130" s="765"/>
      <c r="G130" s="843"/>
    </row>
    <row r="131" spans="1:7" x14ac:dyDescent="0.2">
      <c r="A131" s="822" t="s">
        <v>644</v>
      </c>
      <c r="B131" s="769">
        <f>'9. Lot Choice'!B7</f>
        <v>0</v>
      </c>
      <c r="C131" s="844">
        <v>2</v>
      </c>
      <c r="D131" s="765" t="s">
        <v>153</v>
      </c>
      <c r="E131" s="765"/>
      <c r="F131" s="765"/>
      <c r="G131" s="843"/>
    </row>
    <row r="132" spans="1:7" x14ac:dyDescent="0.2">
      <c r="A132" s="822" t="s">
        <v>645</v>
      </c>
      <c r="B132" s="769">
        <f>'9. Lot Choice'!B8</f>
        <v>0</v>
      </c>
      <c r="C132" s="804">
        <v>2</v>
      </c>
      <c r="D132" s="842" t="s">
        <v>575</v>
      </c>
      <c r="E132" s="842"/>
      <c r="F132" s="842"/>
      <c r="G132" s="843"/>
    </row>
    <row r="133" spans="1:7" x14ac:dyDescent="0.2">
      <c r="A133" s="822" t="s">
        <v>646</v>
      </c>
      <c r="B133" s="769">
        <f>'9. Lot Choice'!B9</f>
        <v>0</v>
      </c>
      <c r="C133" s="844">
        <v>1</v>
      </c>
      <c r="D133" s="842" t="s">
        <v>574</v>
      </c>
      <c r="E133" s="842"/>
      <c r="F133" s="842"/>
      <c r="G133" s="843"/>
    </row>
    <row r="134" spans="1:7" x14ac:dyDescent="0.2">
      <c r="A134" s="822" t="s">
        <v>647</v>
      </c>
      <c r="B134" s="769">
        <f>'9. Lot Choice'!B10</f>
        <v>0</v>
      </c>
      <c r="C134" s="804">
        <v>2</v>
      </c>
      <c r="D134" s="842" t="s">
        <v>468</v>
      </c>
      <c r="E134" s="842"/>
      <c r="F134" s="842"/>
      <c r="G134" s="843"/>
    </row>
    <row r="135" spans="1:7" x14ac:dyDescent="0.2">
      <c r="A135" s="822" t="s">
        <v>648</v>
      </c>
      <c r="B135" s="769">
        <f>'9. Lot Choice'!B11</f>
        <v>0</v>
      </c>
      <c r="C135" s="804">
        <v>2</v>
      </c>
      <c r="D135" s="765" t="s">
        <v>156</v>
      </c>
      <c r="E135" s="765"/>
      <c r="F135" s="765"/>
      <c r="G135" s="843"/>
    </row>
    <row r="136" spans="1:7" x14ac:dyDescent="0.2">
      <c r="A136" s="822" t="s">
        <v>649</v>
      </c>
      <c r="B136" s="769" t="str">
        <f>'9. Lot Choice'!B12</f>
        <v xml:space="preserve"> </v>
      </c>
      <c r="C136" s="804">
        <v>2</v>
      </c>
      <c r="D136" s="760" t="s">
        <v>562</v>
      </c>
      <c r="E136" s="760"/>
      <c r="F136" s="760"/>
      <c r="G136" s="843"/>
    </row>
    <row r="137" spans="1:7" x14ac:dyDescent="0.2">
      <c r="A137" s="799"/>
      <c r="B137" s="765"/>
      <c r="C137" s="765"/>
      <c r="D137" s="769" t="e">
        <f>'9. Lot Choice'!#REF!</f>
        <v>#REF!</v>
      </c>
      <c r="E137" s="842" t="s">
        <v>754</v>
      </c>
      <c r="F137" s="842"/>
      <c r="G137" s="843"/>
    </row>
    <row r="138" spans="1:7" x14ac:dyDescent="0.2">
      <c r="A138" s="799"/>
      <c r="B138" s="765"/>
      <c r="C138" s="765"/>
      <c r="D138" s="769">
        <f>'9. Lot Choice'!D13</f>
        <v>0</v>
      </c>
      <c r="E138" s="835" t="s">
        <v>163</v>
      </c>
      <c r="F138" s="835"/>
      <c r="G138" s="843"/>
    </row>
    <row r="139" spans="1:7" x14ac:dyDescent="0.2">
      <c r="A139" s="799"/>
      <c r="B139" s="765"/>
      <c r="C139" s="765"/>
      <c r="D139" s="769">
        <f>'9. Lot Choice'!D14</f>
        <v>0</v>
      </c>
      <c r="E139" s="835" t="s">
        <v>164</v>
      </c>
      <c r="F139" s="835"/>
      <c r="G139" s="843"/>
    </row>
    <row r="140" spans="1:7" x14ac:dyDescent="0.2">
      <c r="A140" s="799"/>
      <c r="B140" s="765"/>
      <c r="C140" s="765"/>
      <c r="D140" s="769">
        <f>'9. Lot Choice'!D15</f>
        <v>0</v>
      </c>
      <c r="E140" s="835" t="s">
        <v>165</v>
      </c>
      <c r="F140" s="835"/>
      <c r="G140" s="843"/>
    </row>
    <row r="141" spans="1:7" x14ac:dyDescent="0.2">
      <c r="A141" s="799"/>
      <c r="B141" s="765"/>
      <c r="C141" s="765"/>
      <c r="D141" s="769">
        <f>'9. Lot Choice'!D16</f>
        <v>0</v>
      </c>
      <c r="E141" s="835" t="s">
        <v>166</v>
      </c>
      <c r="F141" s="835"/>
      <c r="G141" s="843"/>
    </row>
    <row r="142" spans="1:7" x14ac:dyDescent="0.2">
      <c r="A142" s="799"/>
      <c r="B142" s="765"/>
      <c r="C142" s="765"/>
      <c r="D142" s="769">
        <f>'9. Lot Choice'!D17</f>
        <v>0</v>
      </c>
      <c r="E142" s="835" t="s">
        <v>167</v>
      </c>
      <c r="F142" s="835"/>
      <c r="G142" s="843"/>
    </row>
    <row r="143" spans="1:7" x14ac:dyDescent="0.2">
      <c r="A143" s="799"/>
      <c r="B143" s="765"/>
      <c r="C143" s="765"/>
      <c r="D143" s="769">
        <f>'9. Lot Choice'!D18</f>
        <v>0</v>
      </c>
      <c r="E143" s="835" t="s">
        <v>168</v>
      </c>
      <c r="F143" s="835"/>
      <c r="G143" s="843"/>
    </row>
    <row r="144" spans="1:7" x14ac:dyDescent="0.2">
      <c r="A144" s="799"/>
      <c r="B144" s="765"/>
      <c r="C144" s="765"/>
      <c r="D144" s="769">
        <f>'9. Lot Choice'!D19</f>
        <v>0</v>
      </c>
      <c r="E144" s="835" t="s">
        <v>169</v>
      </c>
      <c r="F144" s="835"/>
      <c r="G144" s="843"/>
    </row>
    <row r="145" spans="1:7" x14ac:dyDescent="0.2">
      <c r="A145" s="799"/>
      <c r="B145" s="765"/>
      <c r="C145" s="765"/>
      <c r="D145" s="769">
        <f>'9. Lot Choice'!D20</f>
        <v>0</v>
      </c>
      <c r="E145" s="835" t="s">
        <v>170</v>
      </c>
      <c r="F145" s="835"/>
      <c r="G145" s="843"/>
    </row>
    <row r="146" spans="1:7" x14ac:dyDescent="0.2">
      <c r="A146" s="799"/>
      <c r="B146" s="765"/>
      <c r="C146" s="765"/>
      <c r="D146" s="769">
        <f>'9. Lot Choice'!D21</f>
        <v>0</v>
      </c>
      <c r="E146" s="835" t="s">
        <v>171</v>
      </c>
      <c r="F146" s="835"/>
      <c r="G146" s="843"/>
    </row>
    <row r="147" spans="1:7" x14ac:dyDescent="0.2">
      <c r="A147" s="799"/>
      <c r="B147" s="765"/>
      <c r="C147" s="765"/>
      <c r="D147" s="769">
        <f>'9. Lot Choice'!D22</f>
        <v>0</v>
      </c>
      <c r="E147" s="835" t="s">
        <v>172</v>
      </c>
      <c r="F147" s="835"/>
      <c r="G147" s="843"/>
    </row>
    <row r="148" spans="1:7" x14ac:dyDescent="0.2">
      <c r="A148" s="799"/>
      <c r="B148" s="765"/>
      <c r="C148" s="765"/>
      <c r="D148" s="769">
        <f>'9. Lot Choice'!D23</f>
        <v>0</v>
      </c>
      <c r="E148" s="835" t="s">
        <v>173</v>
      </c>
      <c r="F148" s="835"/>
      <c r="G148" s="843"/>
    </row>
    <row r="149" spans="1:7" x14ac:dyDescent="0.2">
      <c r="A149" s="799"/>
      <c r="B149" s="765"/>
      <c r="C149" s="765"/>
      <c r="D149" s="769">
        <f>'9. Lot Choice'!D24</f>
        <v>0</v>
      </c>
      <c r="E149" s="835" t="s">
        <v>174</v>
      </c>
      <c r="F149" s="835"/>
      <c r="G149" s="843"/>
    </row>
    <row r="150" spans="1:7" x14ac:dyDescent="0.2">
      <c r="A150" s="799"/>
      <c r="B150" s="765"/>
      <c r="C150" s="765"/>
      <c r="D150" s="769">
        <f>'9. Lot Choice'!D25</f>
        <v>0</v>
      </c>
      <c r="E150" s="835" t="s">
        <v>175</v>
      </c>
      <c r="F150" s="835"/>
      <c r="G150" s="843"/>
    </row>
    <row r="151" spans="1:7" x14ac:dyDescent="0.2">
      <c r="A151" s="799"/>
      <c r="B151" s="765"/>
      <c r="C151" s="765"/>
      <c r="D151" s="769">
        <f>'9. Lot Choice'!D31</f>
        <v>0</v>
      </c>
      <c r="E151" s="835" t="s">
        <v>176</v>
      </c>
      <c r="F151" s="835"/>
      <c r="G151" s="843"/>
    </row>
    <row r="152" spans="1:7" x14ac:dyDescent="0.2">
      <c r="A152" s="799"/>
      <c r="B152" s="765"/>
      <c r="C152" s="765"/>
      <c r="D152" s="769">
        <f>'9. Lot Choice'!D32</f>
        <v>0</v>
      </c>
      <c r="E152" s="835" t="s">
        <v>177</v>
      </c>
      <c r="F152" s="835"/>
      <c r="G152" s="843"/>
    </row>
    <row r="153" spans="1:7" x14ac:dyDescent="0.2">
      <c r="A153" s="799"/>
      <c r="B153" s="765"/>
      <c r="C153" s="765"/>
      <c r="D153" s="769">
        <f>'9. Lot Choice'!D33</f>
        <v>0</v>
      </c>
      <c r="E153" s="835" t="s">
        <v>178</v>
      </c>
      <c r="F153" s="835"/>
      <c r="G153" s="843"/>
    </row>
    <row r="154" spans="1:7" x14ac:dyDescent="0.2">
      <c r="A154" s="799"/>
      <c r="B154" s="765"/>
      <c r="C154" s="765"/>
      <c r="D154" s="769">
        <f>'9. Lot Choice'!D34</f>
        <v>0</v>
      </c>
      <c r="E154" s="835" t="s">
        <v>179</v>
      </c>
      <c r="F154" s="835"/>
      <c r="G154" s="843"/>
    </row>
    <row r="155" spans="1:7" x14ac:dyDescent="0.2">
      <c r="A155" s="799"/>
      <c r="B155" s="765"/>
      <c r="C155" s="765"/>
      <c r="D155" s="769">
        <f>'9. Lot Choice'!D35</f>
        <v>0</v>
      </c>
      <c r="E155" s="835" t="s">
        <v>180</v>
      </c>
      <c r="F155" s="835"/>
      <c r="G155" s="843"/>
    </row>
    <row r="156" spans="1:7" x14ac:dyDescent="0.2">
      <c r="A156" s="799"/>
      <c r="B156" s="765"/>
      <c r="C156" s="765"/>
      <c r="D156" s="769" t="e">
        <f>'9. Lot Choice'!#REF!</f>
        <v>#REF!</v>
      </c>
      <c r="E156" s="835" t="s">
        <v>181</v>
      </c>
      <c r="F156" s="835"/>
      <c r="G156" s="843"/>
    </row>
    <row r="157" spans="1:7" x14ac:dyDescent="0.2">
      <c r="A157" s="822" t="s">
        <v>650</v>
      </c>
      <c r="B157" s="769">
        <f>'9. Lot Choice'!B39</f>
        <v>0</v>
      </c>
      <c r="C157" s="804">
        <v>2</v>
      </c>
      <c r="D157" s="842" t="s">
        <v>449</v>
      </c>
      <c r="E157" s="842"/>
      <c r="F157" s="842"/>
      <c r="G157" s="843"/>
    </row>
    <row r="158" spans="1:7" x14ac:dyDescent="0.2">
      <c r="A158" s="822" t="s">
        <v>651</v>
      </c>
      <c r="B158" s="769">
        <f>'9. Lot Choice'!B40</f>
        <v>0</v>
      </c>
      <c r="C158" s="804">
        <v>2</v>
      </c>
      <c r="D158" s="765" t="s">
        <v>159</v>
      </c>
      <c r="E158" s="765"/>
      <c r="F158" s="765"/>
      <c r="G158" s="843"/>
    </row>
    <row r="159" spans="1:7" x14ac:dyDescent="0.2">
      <c r="A159" s="799"/>
      <c r="B159" s="769">
        <f>'9. Lot Choice'!B41</f>
        <v>0</v>
      </c>
      <c r="C159" s="804">
        <v>21</v>
      </c>
      <c r="D159" s="765" t="s">
        <v>111</v>
      </c>
      <c r="E159" s="765"/>
      <c r="F159" s="765"/>
      <c r="G159" s="845"/>
    </row>
    <row r="160" spans="1:7" ht="21" customHeight="1" x14ac:dyDescent="0.2">
      <c r="A160" s="799"/>
      <c r="B160" s="765"/>
      <c r="C160" s="765"/>
      <c r="D160" s="765"/>
      <c r="E160" s="765"/>
      <c r="F160" s="765"/>
      <c r="G160" s="845"/>
    </row>
    <row r="161" spans="1:7" ht="19" x14ac:dyDescent="0.25">
      <c r="A161" s="799"/>
      <c r="B161" s="772">
        <f>'9. Lot Choice'!B43</f>
        <v>0</v>
      </c>
      <c r="C161" s="812" t="s">
        <v>160</v>
      </c>
      <c r="D161" s="812"/>
      <c r="E161" s="812"/>
      <c r="F161" s="812"/>
      <c r="G161" s="845"/>
    </row>
    <row r="162" spans="1:7" ht="15.75" customHeight="1" thickBot="1" x14ac:dyDescent="0.25">
      <c r="A162" s="815" t="s">
        <v>161</v>
      </c>
      <c r="B162" s="816"/>
      <c r="C162" s="816"/>
      <c r="D162" s="1482" t="e">
        <f>'9. Lot Choice'!E45:F45</f>
        <v>#VALUE!</v>
      </c>
      <c r="E162" s="1482"/>
      <c r="F162" s="1482"/>
      <c r="G162" s="1483"/>
    </row>
    <row r="163" spans="1:7" ht="28.5" customHeight="1" x14ac:dyDescent="0.25">
      <c r="A163" s="780" t="s">
        <v>787</v>
      </c>
      <c r="B163" s="781"/>
      <c r="C163" s="781"/>
      <c r="D163" s="781"/>
      <c r="E163" s="781"/>
      <c r="F163" s="781"/>
      <c r="G163" s="838"/>
    </row>
    <row r="164" spans="1:7" ht="16" x14ac:dyDescent="0.2">
      <c r="A164" s="794" t="s">
        <v>222</v>
      </c>
      <c r="B164" s="778"/>
      <c r="C164" s="778"/>
      <c r="D164" s="778"/>
      <c r="E164" s="778"/>
      <c r="F164" s="778"/>
      <c r="G164" s="839"/>
    </row>
    <row r="165" spans="1:7" ht="16" x14ac:dyDescent="0.2">
      <c r="A165" s="846" t="s">
        <v>433</v>
      </c>
      <c r="B165" s="1453" t="str">
        <f>'10. Site'!B3</f>
        <v>N/A</v>
      </c>
      <c r="C165" s="1453"/>
      <c r="D165" s="1927" t="s">
        <v>788</v>
      </c>
      <c r="E165" s="1927"/>
      <c r="F165" s="1927"/>
      <c r="G165" s="1928"/>
    </row>
    <row r="166" spans="1:7" ht="16" x14ac:dyDescent="0.2">
      <c r="A166" s="846"/>
      <c r="B166" s="847"/>
      <c r="C166" s="778"/>
      <c r="D166" s="1927"/>
      <c r="E166" s="1927"/>
      <c r="F166" s="1927"/>
      <c r="G166" s="1928"/>
    </row>
    <row r="167" spans="1:7" ht="16" x14ac:dyDescent="0.2">
      <c r="A167" s="777" t="s">
        <v>185</v>
      </c>
      <c r="B167" s="775"/>
      <c r="C167" s="775"/>
      <c r="D167" s="775"/>
      <c r="E167" s="775"/>
      <c r="F167" s="775"/>
      <c r="G167" s="848"/>
    </row>
    <row r="168" spans="1:7" x14ac:dyDescent="0.2">
      <c r="A168" s="822" t="s">
        <v>652</v>
      </c>
      <c r="B168" s="773">
        <f>'10. Site'!B7</f>
        <v>0</v>
      </c>
      <c r="C168" s="802">
        <v>2</v>
      </c>
      <c r="D168" s="849" t="s">
        <v>186</v>
      </c>
      <c r="E168" s="849"/>
      <c r="F168" s="849"/>
      <c r="G168" s="850"/>
    </row>
    <row r="169" spans="1:7" x14ac:dyDescent="0.2">
      <c r="A169" s="822" t="s">
        <v>653</v>
      </c>
      <c r="B169" s="769">
        <f>'10. Site'!B8</f>
        <v>0</v>
      </c>
      <c r="C169" s="797" t="s">
        <v>47</v>
      </c>
      <c r="D169" s="765" t="s">
        <v>187</v>
      </c>
      <c r="E169" s="765"/>
      <c r="F169" s="765"/>
      <c r="G169" s="851"/>
    </row>
    <row r="170" spans="1:7" x14ac:dyDescent="0.2">
      <c r="A170" s="799"/>
      <c r="B170" s="765"/>
      <c r="C170" s="765"/>
      <c r="D170" s="800" t="s">
        <v>215</v>
      </c>
      <c r="E170" s="800"/>
      <c r="F170" s="800"/>
      <c r="G170" s="852"/>
    </row>
    <row r="171" spans="1:7" x14ac:dyDescent="0.2">
      <c r="A171" s="799"/>
      <c r="B171" s="765"/>
      <c r="C171" s="765"/>
      <c r="D171" s="1463" t="str">
        <f>'10. Site'!D10</f>
        <v>?</v>
      </c>
      <c r="E171" s="1463"/>
      <c r="F171" s="760"/>
      <c r="G171" s="845"/>
    </row>
    <row r="172" spans="1:7" x14ac:dyDescent="0.2">
      <c r="A172" s="822" t="s">
        <v>654</v>
      </c>
      <c r="B172" s="769">
        <f>'10. Site'!B11</f>
        <v>0</v>
      </c>
      <c r="C172" s="804">
        <v>2</v>
      </c>
      <c r="D172" s="765" t="s">
        <v>188</v>
      </c>
      <c r="E172" s="765"/>
      <c r="F172" s="765"/>
      <c r="G172" s="851"/>
    </row>
    <row r="173" spans="1:7" x14ac:dyDescent="0.2">
      <c r="A173" s="822" t="s">
        <v>655</v>
      </c>
      <c r="B173" s="769">
        <f>'10. Site'!B12</f>
        <v>0</v>
      </c>
      <c r="C173" s="797" t="s">
        <v>189</v>
      </c>
      <c r="D173" s="765" t="s">
        <v>190</v>
      </c>
      <c r="E173" s="765"/>
      <c r="F173" s="765"/>
      <c r="G173" s="851"/>
    </row>
    <row r="174" spans="1:7" x14ac:dyDescent="0.2">
      <c r="A174" s="799"/>
      <c r="B174" s="765"/>
      <c r="C174" s="765"/>
      <c r="D174" s="769">
        <f>'10. Site'!D13</f>
        <v>0</v>
      </c>
      <c r="E174" s="765" t="s">
        <v>191</v>
      </c>
      <c r="F174" s="765"/>
      <c r="G174" s="851"/>
    </row>
    <row r="175" spans="1:7" ht="16" x14ac:dyDescent="0.2">
      <c r="A175" s="777" t="s">
        <v>469</v>
      </c>
      <c r="B175" s="775"/>
      <c r="C175" s="775"/>
      <c r="D175" s="775"/>
      <c r="E175" s="775"/>
      <c r="F175" s="775"/>
      <c r="G175" s="848"/>
    </row>
    <row r="176" spans="1:7" x14ac:dyDescent="0.2">
      <c r="A176" s="822" t="s">
        <v>656</v>
      </c>
      <c r="B176" s="769">
        <f>'10. Site'!B16</f>
        <v>0</v>
      </c>
      <c r="C176" s="804">
        <v>2</v>
      </c>
      <c r="D176" s="765" t="s">
        <v>194</v>
      </c>
      <c r="E176" s="765"/>
      <c r="F176" s="765"/>
      <c r="G176" s="851"/>
    </row>
    <row r="177" spans="1:7" x14ac:dyDescent="0.2">
      <c r="A177" s="822" t="s">
        <v>657</v>
      </c>
      <c r="B177" s="769">
        <f>'10. Site'!B17</f>
        <v>0</v>
      </c>
      <c r="C177" s="797" t="s">
        <v>47</v>
      </c>
      <c r="D177" s="765" t="s">
        <v>193</v>
      </c>
      <c r="E177" s="765"/>
      <c r="F177" s="765"/>
      <c r="G177" s="851"/>
    </row>
    <row r="178" spans="1:7" x14ac:dyDescent="0.2">
      <c r="A178" s="799"/>
      <c r="B178" s="765"/>
      <c r="C178" s="765"/>
      <c r="D178" s="800" t="s">
        <v>218</v>
      </c>
      <c r="E178" s="800"/>
      <c r="F178" s="841">
        <f>'10. Site'!F18</f>
        <v>0</v>
      </c>
      <c r="G178" s="851"/>
    </row>
    <row r="179" spans="1:7" ht="16" x14ac:dyDescent="0.2">
      <c r="A179" s="777" t="s">
        <v>195</v>
      </c>
      <c r="B179" s="775"/>
      <c r="C179" s="775"/>
      <c r="D179" s="775"/>
      <c r="E179" s="775"/>
      <c r="F179" s="775"/>
      <c r="G179" s="848"/>
    </row>
    <row r="180" spans="1:7" x14ac:dyDescent="0.2">
      <c r="A180" s="822" t="s">
        <v>658</v>
      </c>
      <c r="B180" s="769">
        <f>'10. Site'!B21</f>
        <v>2</v>
      </c>
      <c r="C180" s="804">
        <v>2</v>
      </c>
      <c r="D180" s="798" t="s">
        <v>196</v>
      </c>
      <c r="E180" s="798"/>
      <c r="F180" s="798"/>
      <c r="G180" s="853"/>
    </row>
    <row r="181" spans="1:7" x14ac:dyDescent="0.2">
      <c r="A181" s="822" t="s">
        <v>659</v>
      </c>
      <c r="B181" s="769">
        <f>'10. Site'!B22</f>
        <v>0</v>
      </c>
      <c r="C181" s="804">
        <v>1</v>
      </c>
      <c r="D181" s="765" t="s">
        <v>197</v>
      </c>
      <c r="E181" s="765"/>
      <c r="F181" s="765"/>
      <c r="G181" s="851"/>
    </row>
    <row r="182" spans="1:7" x14ac:dyDescent="0.2">
      <c r="A182" s="822" t="s">
        <v>660</v>
      </c>
      <c r="B182" s="769">
        <f>'10. Site'!B23</f>
        <v>0</v>
      </c>
      <c r="C182" s="804">
        <v>2</v>
      </c>
      <c r="D182" s="765" t="s">
        <v>198</v>
      </c>
      <c r="E182" s="765"/>
      <c r="F182" s="765"/>
      <c r="G182" s="851"/>
    </row>
    <row r="183" spans="1:7" x14ac:dyDescent="0.2">
      <c r="A183" s="822" t="s">
        <v>661</v>
      </c>
      <c r="B183" s="769">
        <f>'10. Site'!B24</f>
        <v>1</v>
      </c>
      <c r="C183" s="804">
        <v>1</v>
      </c>
      <c r="D183" s="765" t="s">
        <v>199</v>
      </c>
      <c r="E183" s="765"/>
      <c r="F183" s="765"/>
      <c r="G183" s="851"/>
    </row>
    <row r="184" spans="1:7" x14ac:dyDescent="0.2">
      <c r="A184" s="822" t="s">
        <v>662</v>
      </c>
      <c r="B184" s="769">
        <f>'10. Site'!B25</f>
        <v>0</v>
      </c>
      <c r="C184" s="804">
        <v>1</v>
      </c>
      <c r="D184" s="765" t="s">
        <v>200</v>
      </c>
      <c r="E184" s="765"/>
      <c r="F184" s="765"/>
      <c r="G184" s="851"/>
    </row>
    <row r="185" spans="1:7" ht="16" x14ac:dyDescent="0.2">
      <c r="A185" s="777" t="s">
        <v>201</v>
      </c>
      <c r="B185" s="775"/>
      <c r="C185" s="775"/>
      <c r="D185" s="775"/>
      <c r="E185" s="775"/>
      <c r="F185" s="775"/>
      <c r="G185" s="848"/>
    </row>
    <row r="186" spans="1:7" x14ac:dyDescent="0.2">
      <c r="A186" s="796" t="s">
        <v>663</v>
      </c>
      <c r="B186" s="769">
        <f>'10. Site'!B28</f>
        <v>0</v>
      </c>
      <c r="C186" s="804">
        <v>2</v>
      </c>
      <c r="D186" s="765" t="s">
        <v>202</v>
      </c>
      <c r="E186" s="765"/>
      <c r="F186" s="765"/>
      <c r="G186" s="851"/>
    </row>
    <row r="187" spans="1:7" x14ac:dyDescent="0.2">
      <c r="A187" s="796" t="s">
        <v>664</v>
      </c>
      <c r="B187" s="769">
        <f>'10. Site'!B29</f>
        <v>0</v>
      </c>
      <c r="C187" s="804">
        <v>2</v>
      </c>
      <c r="D187" s="765" t="s">
        <v>203</v>
      </c>
      <c r="E187" s="765"/>
      <c r="F187" s="765"/>
      <c r="G187" s="851"/>
    </row>
    <row r="188" spans="1:7" x14ac:dyDescent="0.2">
      <c r="A188" s="796" t="s">
        <v>665</v>
      </c>
      <c r="B188" s="774">
        <f>'10. Site'!B30</f>
        <v>1</v>
      </c>
      <c r="C188" s="797" t="s">
        <v>41</v>
      </c>
      <c r="D188" s="765" t="s">
        <v>204</v>
      </c>
      <c r="E188" s="765"/>
      <c r="F188" s="765"/>
      <c r="G188" s="851"/>
    </row>
    <row r="189" spans="1:7" x14ac:dyDescent="0.2">
      <c r="A189" s="799"/>
      <c r="B189" s="765"/>
      <c r="C189" s="765"/>
      <c r="D189" s="765" t="s">
        <v>205</v>
      </c>
      <c r="E189" s="765"/>
      <c r="F189" s="765"/>
      <c r="G189" s="851"/>
    </row>
    <row r="190" spans="1:7" x14ac:dyDescent="0.2">
      <c r="A190" s="799"/>
      <c r="B190" s="765"/>
      <c r="C190" s="765"/>
      <c r="D190" s="769">
        <f>'10. Site'!D32</f>
        <v>0</v>
      </c>
      <c r="E190" s="765" t="s">
        <v>206</v>
      </c>
      <c r="F190" s="769">
        <f>'10. Site'!F32</f>
        <v>100</v>
      </c>
      <c r="G190" s="851" t="s">
        <v>207</v>
      </c>
    </row>
    <row r="191" spans="1:7" x14ac:dyDescent="0.2">
      <c r="A191" s="799"/>
      <c r="B191" s="765"/>
      <c r="C191" s="765"/>
      <c r="D191" s="769">
        <f>'10. Site'!D33</f>
        <v>0</v>
      </c>
      <c r="E191" s="765" t="s">
        <v>208</v>
      </c>
      <c r="F191" s="769">
        <f>'10. Site'!F33</f>
        <v>30</v>
      </c>
      <c r="G191" s="851" t="s">
        <v>209</v>
      </c>
    </row>
    <row r="192" spans="1:7" x14ac:dyDescent="0.2">
      <c r="A192" s="799"/>
      <c r="B192" s="765"/>
      <c r="C192" s="765"/>
      <c r="D192" s="769">
        <f>'10. Site'!D34</f>
        <v>0</v>
      </c>
      <c r="E192" s="765" t="s">
        <v>210</v>
      </c>
      <c r="F192" s="769">
        <f>'10. Site'!F34</f>
        <v>30</v>
      </c>
      <c r="G192" s="851" t="s">
        <v>211</v>
      </c>
    </row>
    <row r="193" spans="1:7" x14ac:dyDescent="0.2">
      <c r="A193" s="799"/>
      <c r="B193" s="765"/>
      <c r="C193" s="765"/>
      <c r="D193" s="774">
        <f>'10. Site'!D35</f>
        <v>1</v>
      </c>
      <c r="E193" s="765" t="s">
        <v>212</v>
      </c>
      <c r="F193" s="765"/>
      <c r="G193" s="851"/>
    </row>
    <row r="194" spans="1:7" x14ac:dyDescent="0.2">
      <c r="A194" s="799"/>
      <c r="B194" s="769">
        <f>'10. Site'!B36</f>
        <v>4</v>
      </c>
      <c r="C194" s="804">
        <v>34</v>
      </c>
      <c r="D194" s="760" t="s">
        <v>111</v>
      </c>
      <c r="E194" s="760"/>
      <c r="F194" s="760"/>
      <c r="G194" s="845"/>
    </row>
    <row r="195" spans="1:7" ht="21" customHeight="1" x14ac:dyDescent="0.2">
      <c r="A195" s="799"/>
      <c r="B195" s="765"/>
      <c r="C195" s="765"/>
      <c r="D195" s="765"/>
      <c r="E195" s="765"/>
      <c r="F195" s="765"/>
      <c r="G195" s="851"/>
    </row>
    <row r="196" spans="1:7" ht="19" x14ac:dyDescent="0.25">
      <c r="A196" s="799"/>
      <c r="B196" s="772">
        <f>'10. Site'!B38</f>
        <v>4</v>
      </c>
      <c r="C196" s="812" t="s">
        <v>213</v>
      </c>
      <c r="D196" s="812"/>
      <c r="E196" s="812"/>
      <c r="F196" s="812"/>
      <c r="G196" s="854"/>
    </row>
    <row r="197" spans="1:7" ht="16" thickBot="1" x14ac:dyDescent="0.25">
      <c r="A197" s="815" t="s">
        <v>214</v>
      </c>
      <c r="B197" s="789"/>
      <c r="C197" s="789"/>
      <c r="D197" s="1458">
        <f>'10. Site'!E40</f>
        <v>0</v>
      </c>
      <c r="E197" s="1458"/>
      <c r="F197" s="1458"/>
      <c r="G197" s="1459"/>
    </row>
    <row r="198" spans="1:7" ht="19" x14ac:dyDescent="0.25">
      <c r="A198" s="780" t="s">
        <v>790</v>
      </c>
      <c r="B198" s="781"/>
      <c r="C198" s="781"/>
      <c r="D198" s="781"/>
      <c r="E198" s="781"/>
      <c r="F198" s="781"/>
      <c r="G198" s="838"/>
    </row>
    <row r="199" spans="1:7" ht="16" x14ac:dyDescent="0.2">
      <c r="A199" s="794" t="s">
        <v>338</v>
      </c>
      <c r="B199" s="778"/>
      <c r="C199" s="778"/>
      <c r="D199" s="778"/>
      <c r="E199" s="778"/>
      <c r="F199" s="778"/>
      <c r="G199" s="839"/>
    </row>
    <row r="200" spans="1:7" ht="16" x14ac:dyDescent="0.2">
      <c r="A200" s="777" t="s">
        <v>240</v>
      </c>
      <c r="B200" s="775"/>
      <c r="C200" s="775"/>
      <c r="D200" s="775"/>
      <c r="E200" s="775"/>
      <c r="F200" s="775"/>
      <c r="G200" s="848"/>
    </row>
    <row r="201" spans="1:7" x14ac:dyDescent="0.2">
      <c r="A201" s="822" t="s">
        <v>666</v>
      </c>
      <c r="B201" s="769">
        <f>'11. Health'!B5</f>
        <v>3</v>
      </c>
      <c r="C201" s="844">
        <v>3</v>
      </c>
      <c r="D201" s="842" t="s">
        <v>789</v>
      </c>
      <c r="E201" s="842"/>
      <c r="F201" s="842"/>
      <c r="G201" s="855"/>
    </row>
    <row r="202" spans="1:7" x14ac:dyDescent="0.2">
      <c r="A202" s="822" t="s">
        <v>667</v>
      </c>
      <c r="B202" s="769">
        <f>'11. Health'!B6</f>
        <v>0</v>
      </c>
      <c r="C202" s="804">
        <v>1</v>
      </c>
      <c r="D202" s="842" t="s">
        <v>578</v>
      </c>
      <c r="E202" s="842"/>
      <c r="F202" s="842"/>
      <c r="G202" s="855"/>
    </row>
    <row r="203" spans="1:7" x14ac:dyDescent="0.2">
      <c r="A203" s="822" t="s">
        <v>668</v>
      </c>
      <c r="B203" s="769">
        <f>'11. Health'!B7</f>
        <v>1</v>
      </c>
      <c r="C203" s="804">
        <v>1</v>
      </c>
      <c r="D203" s="760" t="s">
        <v>895</v>
      </c>
      <c r="E203" s="760"/>
      <c r="F203" s="760"/>
      <c r="G203" s="845"/>
    </row>
    <row r="204" spans="1:7" x14ac:dyDescent="0.2">
      <c r="A204" s="822" t="s">
        <v>669</v>
      </c>
      <c r="B204" s="769">
        <f>'11. Health'!B8</f>
        <v>2</v>
      </c>
      <c r="C204" s="797" t="s">
        <v>47</v>
      </c>
      <c r="D204" s="765" t="s">
        <v>244</v>
      </c>
      <c r="E204" s="765"/>
      <c r="F204" s="765"/>
      <c r="G204" s="851"/>
    </row>
    <row r="205" spans="1:7" x14ac:dyDescent="0.2">
      <c r="A205" s="799"/>
      <c r="B205" s="765"/>
      <c r="C205" s="765"/>
      <c r="D205" s="765" t="s">
        <v>245</v>
      </c>
      <c r="E205" s="765"/>
      <c r="F205" s="765" t="s">
        <v>246</v>
      </c>
      <c r="G205" s="851"/>
    </row>
    <row r="206" spans="1:7" x14ac:dyDescent="0.2">
      <c r="A206" s="799"/>
      <c r="B206" s="765"/>
      <c r="C206" s="765"/>
      <c r="D206" s="769" t="str">
        <f>'11. Health'!D10</f>
        <v>Yes</v>
      </c>
      <c r="E206" s="765" t="s">
        <v>247</v>
      </c>
      <c r="F206" s="769" t="str">
        <f>'11. Health'!F10</f>
        <v>Yes</v>
      </c>
      <c r="G206" s="851" t="s">
        <v>247</v>
      </c>
    </row>
    <row r="207" spans="1:7" x14ac:dyDescent="0.2">
      <c r="A207" s="799"/>
      <c r="B207" s="765"/>
      <c r="C207" s="765"/>
      <c r="D207" s="769">
        <f>'11. Health'!D11</f>
        <v>0</v>
      </c>
      <c r="E207" s="765" t="s">
        <v>248</v>
      </c>
      <c r="F207" s="769">
        <f>'11. Health'!F11</f>
        <v>0</v>
      </c>
      <c r="G207" s="851" t="s">
        <v>248</v>
      </c>
    </row>
    <row r="208" spans="1:7" x14ac:dyDescent="0.2">
      <c r="A208" s="799"/>
      <c r="B208" s="765"/>
      <c r="C208" s="765"/>
      <c r="D208" s="769">
        <f>'11. Health'!D12</f>
        <v>0</v>
      </c>
      <c r="E208" s="765" t="s">
        <v>249</v>
      </c>
      <c r="F208" s="769">
        <f>'11. Health'!F12</f>
        <v>0</v>
      </c>
      <c r="G208" s="851" t="s">
        <v>249</v>
      </c>
    </row>
    <row r="209" spans="1:7" x14ac:dyDescent="0.2">
      <c r="A209" s="799"/>
      <c r="B209" s="765"/>
      <c r="C209" s="765"/>
      <c r="D209" s="765"/>
      <c r="E209" s="765"/>
      <c r="F209" s="769">
        <f>'11. Health'!F13</f>
        <v>0</v>
      </c>
      <c r="G209" s="851" t="s">
        <v>250</v>
      </c>
    </row>
    <row r="210" spans="1:7" ht="16" x14ac:dyDescent="0.2">
      <c r="A210" s="777" t="s">
        <v>252</v>
      </c>
      <c r="B210" s="775"/>
      <c r="C210" s="775"/>
      <c r="D210" s="775"/>
      <c r="E210" s="775"/>
      <c r="F210" s="775"/>
      <c r="G210" s="848"/>
    </row>
    <row r="211" spans="1:7" x14ac:dyDescent="0.2">
      <c r="A211" s="822" t="s">
        <v>670</v>
      </c>
      <c r="B211" s="769">
        <f>'11. Health'!B16</f>
        <v>0</v>
      </c>
      <c r="C211" s="804">
        <v>1</v>
      </c>
      <c r="D211" s="765" t="s">
        <v>253</v>
      </c>
      <c r="E211" s="765"/>
      <c r="F211" s="765"/>
      <c r="G211" s="851"/>
    </row>
    <row r="212" spans="1:7" x14ac:dyDescent="0.2">
      <c r="A212" s="822" t="s">
        <v>671</v>
      </c>
      <c r="B212" s="769">
        <f>'11. Health'!B17</f>
        <v>0</v>
      </c>
      <c r="C212" s="804">
        <v>1</v>
      </c>
      <c r="D212" s="765" t="s">
        <v>254</v>
      </c>
      <c r="E212" s="765"/>
      <c r="F212" s="765"/>
      <c r="G212" s="851"/>
    </row>
    <row r="213" spans="1:7" x14ac:dyDescent="0.2">
      <c r="A213" s="822" t="s">
        <v>672</v>
      </c>
      <c r="B213" s="769">
        <f>'11. Health'!B18</f>
        <v>0</v>
      </c>
      <c r="C213" s="804">
        <v>1</v>
      </c>
      <c r="D213" s="765" t="s">
        <v>255</v>
      </c>
      <c r="E213" s="765"/>
      <c r="F213" s="765"/>
      <c r="G213" s="851"/>
    </row>
    <row r="214" spans="1:7" x14ac:dyDescent="0.2">
      <c r="A214" s="822" t="s">
        <v>673</v>
      </c>
      <c r="B214" s="769">
        <f>'11. Health'!B19</f>
        <v>1</v>
      </c>
      <c r="C214" s="804">
        <v>1</v>
      </c>
      <c r="D214" s="765" t="s">
        <v>256</v>
      </c>
      <c r="E214" s="765"/>
      <c r="F214" s="765"/>
      <c r="G214" s="851"/>
    </row>
    <row r="215" spans="1:7" x14ac:dyDescent="0.2">
      <c r="A215" s="822" t="s">
        <v>674</v>
      </c>
      <c r="B215" s="769">
        <f>'11. Health'!B20</f>
        <v>0</v>
      </c>
      <c r="C215" s="804">
        <v>1</v>
      </c>
      <c r="D215" s="765" t="s">
        <v>257</v>
      </c>
      <c r="E215" s="765"/>
      <c r="F215" s="765"/>
      <c r="G215" s="851"/>
    </row>
    <row r="216" spans="1:7" x14ac:dyDescent="0.2">
      <c r="A216" s="822" t="s">
        <v>675</v>
      </c>
      <c r="B216" s="769">
        <f>'11. Health'!B21</f>
        <v>0</v>
      </c>
      <c r="C216" s="804">
        <v>3</v>
      </c>
      <c r="D216" s="765" t="s">
        <v>258</v>
      </c>
      <c r="E216" s="765"/>
      <c r="F216" s="765"/>
      <c r="G216" s="851"/>
    </row>
    <row r="217" spans="1:7" x14ac:dyDescent="0.2">
      <c r="A217" s="822" t="s">
        <v>676</v>
      </c>
      <c r="B217" s="769">
        <f>'11. Health'!B22</f>
        <v>1</v>
      </c>
      <c r="C217" s="804">
        <v>1</v>
      </c>
      <c r="D217" s="765" t="s">
        <v>259</v>
      </c>
      <c r="E217" s="765"/>
      <c r="F217" s="765"/>
      <c r="G217" s="851"/>
    </row>
    <row r="218" spans="1:7" ht="16" x14ac:dyDescent="0.2">
      <c r="A218" s="777" t="s">
        <v>470</v>
      </c>
      <c r="B218" s="775"/>
      <c r="C218" s="775"/>
      <c r="D218" s="775"/>
      <c r="E218" s="775"/>
      <c r="F218" s="775"/>
      <c r="G218" s="848"/>
    </row>
    <row r="219" spans="1:7" x14ac:dyDescent="0.2">
      <c r="A219" s="822" t="s">
        <v>677</v>
      </c>
      <c r="B219" s="769">
        <f>'11. Health'!B27</f>
        <v>1</v>
      </c>
      <c r="C219" s="804">
        <v>1</v>
      </c>
      <c r="D219" s="842" t="s">
        <v>563</v>
      </c>
      <c r="E219" s="842"/>
      <c r="F219" s="842"/>
      <c r="G219" s="855"/>
    </row>
    <row r="220" spans="1:7" x14ac:dyDescent="0.2">
      <c r="A220" s="822" t="s">
        <v>678</v>
      </c>
      <c r="B220" s="769" t="e">
        <f>'11. Health'!#REF!</f>
        <v>#REF!</v>
      </c>
      <c r="C220" s="804">
        <v>2</v>
      </c>
      <c r="D220" s="765" t="s">
        <v>262</v>
      </c>
      <c r="E220" s="765"/>
      <c r="F220" s="765"/>
      <c r="G220" s="851"/>
    </row>
    <row r="221" spans="1:7" x14ac:dyDescent="0.2">
      <c r="A221" s="822" t="s">
        <v>679</v>
      </c>
      <c r="B221" s="769">
        <f>'11. Health'!B28</f>
        <v>0</v>
      </c>
      <c r="C221" s="804">
        <v>1</v>
      </c>
      <c r="D221" s="765" t="s">
        <v>263</v>
      </c>
      <c r="E221" s="765"/>
      <c r="F221" s="765"/>
      <c r="G221" s="851"/>
    </row>
    <row r="222" spans="1:7" x14ac:dyDescent="0.2">
      <c r="A222" s="822" t="s">
        <v>680</v>
      </c>
      <c r="B222" s="769">
        <f>'11. Health'!B29</f>
        <v>1</v>
      </c>
      <c r="C222" s="804">
        <v>1</v>
      </c>
      <c r="D222" s="765" t="s">
        <v>264</v>
      </c>
      <c r="E222" s="765"/>
      <c r="F222" s="765"/>
      <c r="G222" s="851"/>
    </row>
    <row r="223" spans="1:7" x14ac:dyDescent="0.2">
      <c r="A223" s="822" t="s">
        <v>681</v>
      </c>
      <c r="B223" s="769">
        <f>'11. Health'!B30</f>
        <v>1</v>
      </c>
      <c r="C223" s="856" t="s">
        <v>564</v>
      </c>
      <c r="D223" s="760" t="s">
        <v>565</v>
      </c>
      <c r="E223" s="760"/>
      <c r="F223" s="760"/>
      <c r="G223" s="845"/>
    </row>
    <row r="224" spans="1:7" x14ac:dyDescent="0.2">
      <c r="A224" s="822" t="s">
        <v>682</v>
      </c>
      <c r="B224" s="769">
        <f>'11. Health'!B31</f>
        <v>0</v>
      </c>
      <c r="C224" s="804">
        <v>1</v>
      </c>
      <c r="D224" s="842" t="s">
        <v>451</v>
      </c>
      <c r="E224" s="842"/>
      <c r="F224" s="842"/>
      <c r="G224" s="855"/>
    </row>
    <row r="225" spans="1:7" x14ac:dyDescent="0.2">
      <c r="A225" s="822" t="s">
        <v>683</v>
      </c>
      <c r="B225" s="769">
        <f>'11. Health'!B32</f>
        <v>1</v>
      </c>
      <c r="C225" s="804">
        <v>1</v>
      </c>
      <c r="D225" s="765" t="s">
        <v>266</v>
      </c>
      <c r="E225" s="765"/>
      <c r="F225" s="765"/>
      <c r="G225" s="851"/>
    </row>
    <row r="226" spans="1:7" x14ac:dyDescent="0.2">
      <c r="A226" s="822" t="s">
        <v>684</v>
      </c>
      <c r="B226" s="769">
        <f>'11. Health'!B33</f>
        <v>1</v>
      </c>
      <c r="C226" s="856" t="s">
        <v>564</v>
      </c>
      <c r="D226" s="760" t="s">
        <v>755</v>
      </c>
      <c r="E226" s="760"/>
      <c r="F226" s="760"/>
      <c r="G226" s="845"/>
    </row>
    <row r="227" spans="1:7" x14ac:dyDescent="0.2">
      <c r="A227" s="822" t="s">
        <v>685</v>
      </c>
      <c r="B227" s="769">
        <f>'11. Health'!B35</f>
        <v>0</v>
      </c>
      <c r="C227" s="804">
        <v>3</v>
      </c>
      <c r="D227" s="798" t="s">
        <v>268</v>
      </c>
      <c r="E227" s="798"/>
      <c r="F227" s="798"/>
      <c r="G227" s="853"/>
    </row>
    <row r="228" spans="1:7" ht="16" x14ac:dyDescent="0.2">
      <c r="A228" s="777" t="s">
        <v>269</v>
      </c>
      <c r="B228" s="775"/>
      <c r="C228" s="775"/>
      <c r="D228" s="775"/>
      <c r="E228" s="775"/>
      <c r="F228" s="775"/>
      <c r="G228" s="848"/>
    </row>
    <row r="229" spans="1:7" x14ac:dyDescent="0.2">
      <c r="A229" s="796" t="s">
        <v>686</v>
      </c>
      <c r="B229" s="769">
        <f>'11. Health'!B38</f>
        <v>0</v>
      </c>
      <c r="C229" s="797" t="s">
        <v>270</v>
      </c>
      <c r="D229" s="765" t="s">
        <v>271</v>
      </c>
      <c r="E229" s="765"/>
      <c r="F229" s="765"/>
      <c r="G229" s="851"/>
    </row>
    <row r="230" spans="1:7" x14ac:dyDescent="0.2">
      <c r="A230" s="799"/>
      <c r="B230" s="765"/>
      <c r="C230" s="765"/>
      <c r="D230" s="769">
        <f>'11. Health'!D39</f>
        <v>0</v>
      </c>
      <c r="E230" s="765" t="s">
        <v>272</v>
      </c>
      <c r="F230" s="769">
        <f>'11. Health'!F39</f>
        <v>0</v>
      </c>
      <c r="G230" s="857" t="s">
        <v>273</v>
      </c>
    </row>
    <row r="231" spans="1:7" x14ac:dyDescent="0.2">
      <c r="A231" s="799"/>
      <c r="B231" s="765"/>
      <c r="C231" s="765"/>
      <c r="D231" s="768"/>
      <c r="E231" s="768"/>
      <c r="F231" s="769">
        <f>'11. Health'!F40</f>
        <v>0</v>
      </c>
      <c r="G231" s="858" t="s">
        <v>274</v>
      </c>
    </row>
    <row r="232" spans="1:7" x14ac:dyDescent="0.2">
      <c r="A232" s="822" t="s">
        <v>687</v>
      </c>
      <c r="B232" s="769">
        <f>'11. Health'!B41</f>
        <v>0</v>
      </c>
      <c r="C232" s="804">
        <v>1</v>
      </c>
      <c r="D232" s="765" t="s">
        <v>276</v>
      </c>
      <c r="E232" s="765"/>
      <c r="F232" s="765"/>
      <c r="G232" s="851"/>
    </row>
    <row r="233" spans="1:7" ht="16" x14ac:dyDescent="0.2">
      <c r="A233" s="777" t="s">
        <v>471</v>
      </c>
      <c r="B233" s="775"/>
      <c r="C233" s="775"/>
      <c r="D233" s="775"/>
      <c r="E233" s="775"/>
      <c r="F233" s="775"/>
      <c r="G233" s="848"/>
    </row>
    <row r="234" spans="1:7" x14ac:dyDescent="0.2">
      <c r="A234" s="822" t="s">
        <v>688</v>
      </c>
      <c r="B234" s="769">
        <f>'11. Health'!B44</f>
        <v>0</v>
      </c>
      <c r="C234" s="797" t="s">
        <v>280</v>
      </c>
      <c r="D234" s="765" t="s">
        <v>281</v>
      </c>
      <c r="E234" s="765"/>
      <c r="F234" s="765"/>
      <c r="G234" s="851"/>
    </row>
    <row r="235" spans="1:7" ht="16" x14ac:dyDescent="0.2">
      <c r="A235" s="777" t="s">
        <v>282</v>
      </c>
      <c r="B235" s="775"/>
      <c r="C235" s="775"/>
      <c r="D235" s="775"/>
      <c r="E235" s="775"/>
      <c r="F235" s="775"/>
      <c r="G235" s="848"/>
    </row>
    <row r="236" spans="1:7" x14ac:dyDescent="0.2">
      <c r="A236" s="822" t="s">
        <v>689</v>
      </c>
      <c r="B236" s="769">
        <f>'11. Health'!B47</f>
        <v>2</v>
      </c>
      <c r="C236" s="804" t="s">
        <v>922</v>
      </c>
      <c r="D236" s="798" t="s">
        <v>283</v>
      </c>
      <c r="E236" s="798"/>
      <c r="F236" s="798"/>
      <c r="G236" s="853"/>
    </row>
    <row r="237" spans="1:7" x14ac:dyDescent="0.2">
      <c r="A237" s="822" t="s">
        <v>690</v>
      </c>
      <c r="B237" s="769">
        <f>'11. Health'!B48</f>
        <v>0</v>
      </c>
      <c r="C237" s="804">
        <v>1</v>
      </c>
      <c r="D237" s="765" t="s">
        <v>284</v>
      </c>
      <c r="E237" s="765"/>
      <c r="F237" s="765"/>
      <c r="G237" s="851"/>
    </row>
    <row r="238" spans="1:7" x14ac:dyDescent="0.2">
      <c r="A238" s="822" t="s">
        <v>691</v>
      </c>
      <c r="B238" s="769">
        <f>'11. Health'!B49</f>
        <v>0</v>
      </c>
      <c r="C238" s="804">
        <v>1</v>
      </c>
      <c r="D238" s="765" t="s">
        <v>285</v>
      </c>
      <c r="E238" s="765"/>
      <c r="F238" s="765"/>
      <c r="G238" s="851"/>
    </row>
    <row r="239" spans="1:7" x14ac:dyDescent="0.2">
      <c r="A239" s="822" t="s">
        <v>692</v>
      </c>
      <c r="B239" s="769">
        <f>'11. Health'!B50</f>
        <v>0</v>
      </c>
      <c r="C239" s="804">
        <v>1</v>
      </c>
      <c r="D239" s="842" t="s">
        <v>472</v>
      </c>
      <c r="E239" s="842"/>
      <c r="F239" s="842"/>
      <c r="G239" s="855"/>
    </row>
    <row r="240" spans="1:7" x14ac:dyDescent="0.2">
      <c r="A240" s="822" t="s">
        <v>693</v>
      </c>
      <c r="B240" s="769">
        <f>'11. Health'!B51</f>
        <v>1</v>
      </c>
      <c r="C240" s="804">
        <v>1</v>
      </c>
      <c r="D240" s="765" t="s">
        <v>286</v>
      </c>
      <c r="E240" s="765"/>
      <c r="F240" s="765"/>
      <c r="G240" s="851"/>
    </row>
    <row r="241" spans="1:7" x14ac:dyDescent="0.2">
      <c r="A241" s="822" t="s">
        <v>694</v>
      </c>
      <c r="B241" s="769">
        <f>'11. Health'!B52</f>
        <v>1</v>
      </c>
      <c r="C241" s="804">
        <v>1</v>
      </c>
      <c r="D241" s="842" t="s">
        <v>576</v>
      </c>
      <c r="E241" s="842"/>
      <c r="F241" s="842"/>
      <c r="G241" s="855"/>
    </row>
    <row r="242" spans="1:7" x14ac:dyDescent="0.2">
      <c r="A242" s="822" t="s">
        <v>695</v>
      </c>
      <c r="B242" s="769">
        <f>'11. Health'!B53</f>
        <v>0</v>
      </c>
      <c r="C242" s="804">
        <v>3</v>
      </c>
      <c r="D242" s="765" t="s">
        <v>288</v>
      </c>
      <c r="E242" s="765"/>
      <c r="F242" s="765"/>
      <c r="G242" s="851"/>
    </row>
    <row r="243" spans="1:7" x14ac:dyDescent="0.2">
      <c r="A243" s="822" t="s">
        <v>696</v>
      </c>
      <c r="B243" s="769">
        <f>'11. Health'!B54</f>
        <v>1</v>
      </c>
      <c r="C243" s="797" t="s">
        <v>47</v>
      </c>
      <c r="D243" s="842" t="s">
        <v>452</v>
      </c>
      <c r="E243" s="842"/>
      <c r="F243" s="842"/>
      <c r="G243" s="855"/>
    </row>
    <row r="244" spans="1:7" x14ac:dyDescent="0.2">
      <c r="A244" s="822" t="s">
        <v>697</v>
      </c>
      <c r="B244" s="769">
        <f>'11. Health'!B55</f>
        <v>1</v>
      </c>
      <c r="C244" s="804">
        <v>1</v>
      </c>
      <c r="D244" s="765" t="s">
        <v>289</v>
      </c>
      <c r="E244" s="765"/>
      <c r="F244" s="765"/>
      <c r="G244" s="851"/>
    </row>
    <row r="245" spans="1:7" x14ac:dyDescent="0.2">
      <c r="A245" s="822" t="s">
        <v>698</v>
      </c>
      <c r="B245" s="769">
        <f>'11. Health'!B56</f>
        <v>0</v>
      </c>
      <c r="C245" s="804">
        <v>1</v>
      </c>
      <c r="D245" s="842" t="s">
        <v>453</v>
      </c>
      <c r="E245" s="842"/>
      <c r="F245" s="842"/>
      <c r="G245" s="855"/>
    </row>
    <row r="246" spans="1:7" x14ac:dyDescent="0.2">
      <c r="A246" s="822" t="s">
        <v>699</v>
      </c>
      <c r="B246" s="769">
        <f>'11. Health'!B57</f>
        <v>1</v>
      </c>
      <c r="C246" s="804">
        <v>1</v>
      </c>
      <c r="D246" s="798" t="s">
        <v>928</v>
      </c>
      <c r="E246" s="798"/>
      <c r="F246" s="798"/>
      <c r="G246" s="853"/>
    </row>
    <row r="247" spans="1:7" x14ac:dyDescent="0.2">
      <c r="A247" s="859"/>
      <c r="B247" s="769">
        <f>'11. Health'!B58</f>
        <v>22</v>
      </c>
      <c r="C247" s="804">
        <v>61</v>
      </c>
      <c r="D247" s="760" t="s">
        <v>111</v>
      </c>
      <c r="E247" s="760"/>
      <c r="F247" s="760"/>
      <c r="G247" s="845"/>
    </row>
    <row r="248" spans="1:7" x14ac:dyDescent="0.2">
      <c r="A248" s="799"/>
      <c r="B248" s="765"/>
      <c r="C248" s="765"/>
      <c r="D248" s="765"/>
      <c r="E248" s="765"/>
      <c r="F248" s="765"/>
      <c r="G248" s="851"/>
    </row>
    <row r="249" spans="1:7" ht="19" x14ac:dyDescent="0.25">
      <c r="A249" s="799"/>
      <c r="B249" s="772">
        <f>'11. Health'!B60</f>
        <v>22</v>
      </c>
      <c r="C249" s="812" t="s">
        <v>294</v>
      </c>
      <c r="D249" s="812"/>
      <c r="E249" s="812"/>
      <c r="F249" s="812"/>
      <c r="G249" s="854"/>
    </row>
    <row r="250" spans="1:7" ht="21" customHeight="1" thickBot="1" x14ac:dyDescent="0.25">
      <c r="A250" s="815" t="s">
        <v>295</v>
      </c>
      <c r="B250" s="789"/>
      <c r="C250" s="789"/>
      <c r="D250" s="1458">
        <f>'11. Health'!E62</f>
        <v>0</v>
      </c>
      <c r="E250" s="1458"/>
      <c r="F250" s="1458"/>
      <c r="G250" s="1459"/>
    </row>
    <row r="251" spans="1:7" ht="19" x14ac:dyDescent="0.25">
      <c r="A251" s="780" t="s">
        <v>796</v>
      </c>
      <c r="B251" s="781"/>
      <c r="C251" s="781"/>
      <c r="D251" s="781"/>
      <c r="E251" s="781"/>
      <c r="F251" s="781"/>
      <c r="G251" s="838"/>
    </row>
    <row r="252" spans="1:7" ht="16" x14ac:dyDescent="0.2">
      <c r="A252" s="794" t="s">
        <v>341</v>
      </c>
      <c r="B252" s="778"/>
      <c r="C252" s="778"/>
      <c r="D252" s="778"/>
      <c r="E252" s="778"/>
      <c r="F252" s="778"/>
      <c r="G252" s="839"/>
    </row>
    <row r="253" spans="1:7" ht="16" x14ac:dyDescent="0.2">
      <c r="A253" s="777" t="s">
        <v>296</v>
      </c>
      <c r="B253" s="775"/>
      <c r="C253" s="775"/>
      <c r="D253" s="775"/>
      <c r="E253" s="775"/>
      <c r="F253" s="775"/>
      <c r="G253" s="848"/>
    </row>
    <row r="254" spans="1:7" x14ac:dyDescent="0.2">
      <c r="A254" s="822" t="s">
        <v>700</v>
      </c>
      <c r="B254" s="769">
        <f>'12. Materials'!B5</f>
        <v>0</v>
      </c>
      <c r="C254" s="804">
        <v>1</v>
      </c>
      <c r="D254" s="765" t="s">
        <v>297</v>
      </c>
      <c r="E254" s="765"/>
      <c r="F254" s="765"/>
      <c r="G254" s="851"/>
    </row>
    <row r="255" spans="1:7" x14ac:dyDescent="0.2">
      <c r="A255" s="822" t="s">
        <v>701</v>
      </c>
      <c r="B255" s="769">
        <f>'12. Materials'!B6</f>
        <v>0</v>
      </c>
      <c r="C255" s="797" t="s">
        <v>72</v>
      </c>
      <c r="D255" s="765" t="s">
        <v>301</v>
      </c>
      <c r="E255" s="765"/>
      <c r="F255" s="765"/>
      <c r="G255" s="851"/>
    </row>
    <row r="256" spans="1:7" x14ac:dyDescent="0.2">
      <c r="A256" s="799"/>
      <c r="B256" s="765"/>
      <c r="C256" s="765"/>
      <c r="D256" s="769">
        <f>'12. Materials'!D7</f>
        <v>0</v>
      </c>
      <c r="E256" s="800" t="s">
        <v>792</v>
      </c>
      <c r="F256" s="800"/>
      <c r="G256" s="852"/>
    </row>
    <row r="257" spans="1:7" x14ac:dyDescent="0.2">
      <c r="A257" s="799"/>
      <c r="B257" s="765"/>
      <c r="C257" s="765"/>
      <c r="D257" s="769">
        <f>'12. Materials'!D8</f>
        <v>0</v>
      </c>
      <c r="E257" s="800" t="s">
        <v>925</v>
      </c>
      <c r="F257" s="800"/>
      <c r="G257" s="852"/>
    </row>
    <row r="258" spans="1:7" x14ac:dyDescent="0.2">
      <c r="A258" s="822" t="s">
        <v>702</v>
      </c>
      <c r="B258" s="769">
        <f>'12. Materials'!B9</f>
        <v>0</v>
      </c>
      <c r="C258" s="804">
        <v>1</v>
      </c>
      <c r="D258" s="765" t="s">
        <v>302</v>
      </c>
      <c r="E258" s="765"/>
      <c r="F258" s="765"/>
      <c r="G258" s="851"/>
    </row>
    <row r="259" spans="1:7" x14ac:dyDescent="0.2">
      <c r="A259" s="822" t="s">
        <v>703</v>
      </c>
      <c r="B259" s="769">
        <f>'12. Materials'!B10</f>
        <v>0</v>
      </c>
      <c r="C259" s="804">
        <v>1</v>
      </c>
      <c r="D259" s="798" t="s">
        <v>303</v>
      </c>
      <c r="E259" s="798"/>
      <c r="F259" s="798"/>
      <c r="G259" s="853"/>
    </row>
    <row r="260" spans="1:7" x14ac:dyDescent="0.2">
      <c r="A260" s="822" t="s">
        <v>704</v>
      </c>
      <c r="B260" s="769">
        <f>'12. Materials'!B11</f>
        <v>0</v>
      </c>
      <c r="C260" s="804">
        <v>1</v>
      </c>
      <c r="D260" s="765" t="s">
        <v>304</v>
      </c>
      <c r="E260" s="765"/>
      <c r="F260" s="765"/>
      <c r="G260" s="851"/>
    </row>
    <row r="261" spans="1:7" x14ac:dyDescent="0.2">
      <c r="A261" s="822" t="s">
        <v>705</v>
      </c>
      <c r="B261" s="769">
        <f>'12. Materials'!B12</f>
        <v>0</v>
      </c>
      <c r="C261" s="804">
        <v>1</v>
      </c>
      <c r="D261" s="765" t="s">
        <v>305</v>
      </c>
      <c r="E261" s="765"/>
      <c r="F261" s="765"/>
      <c r="G261" s="851"/>
    </row>
    <row r="262" spans="1:7" x14ac:dyDescent="0.2">
      <c r="A262" s="822" t="s">
        <v>706</v>
      </c>
      <c r="B262" s="769">
        <f>'12. Materials'!B13</f>
        <v>0</v>
      </c>
      <c r="C262" s="804">
        <v>1</v>
      </c>
      <c r="D262" s="765" t="s">
        <v>306</v>
      </c>
      <c r="E262" s="765"/>
      <c r="F262" s="765"/>
      <c r="G262" s="851"/>
    </row>
    <row r="263" spans="1:7" x14ac:dyDescent="0.2">
      <c r="A263" s="822" t="s">
        <v>707</v>
      </c>
      <c r="B263" s="769">
        <f>'12. Materials'!B14</f>
        <v>0</v>
      </c>
      <c r="C263" s="804">
        <v>1</v>
      </c>
      <c r="D263" s="765" t="s">
        <v>307</v>
      </c>
      <c r="E263" s="765"/>
      <c r="F263" s="765"/>
      <c r="G263" s="851"/>
    </row>
    <row r="264" spans="1:7" x14ac:dyDescent="0.2">
      <c r="A264" s="822" t="s">
        <v>708</v>
      </c>
      <c r="B264" s="769">
        <f>'12. Materials'!B15</f>
        <v>0</v>
      </c>
      <c r="C264" s="804">
        <v>1</v>
      </c>
      <c r="D264" s="765" t="s">
        <v>311</v>
      </c>
      <c r="E264" s="765"/>
      <c r="F264" s="765"/>
      <c r="G264" s="851"/>
    </row>
    <row r="265" spans="1:7" x14ac:dyDescent="0.2">
      <c r="A265" s="822" t="s">
        <v>709</v>
      </c>
      <c r="B265" s="769">
        <f>'12. Materials'!B16</f>
        <v>0</v>
      </c>
      <c r="C265" s="804">
        <v>1</v>
      </c>
      <c r="D265" s="765" t="s">
        <v>312</v>
      </c>
      <c r="E265" s="765"/>
      <c r="F265" s="765"/>
      <c r="G265" s="851"/>
    </row>
    <row r="266" spans="1:7" x14ac:dyDescent="0.2">
      <c r="A266" s="822" t="s">
        <v>710</v>
      </c>
      <c r="B266" s="769">
        <f>'12. Materials'!B17</f>
        <v>0</v>
      </c>
      <c r="C266" s="804">
        <v>1</v>
      </c>
      <c r="D266" s="765" t="s">
        <v>313</v>
      </c>
      <c r="E266" s="765"/>
      <c r="F266" s="765"/>
      <c r="G266" s="851"/>
    </row>
    <row r="267" spans="1:7" x14ac:dyDescent="0.2">
      <c r="A267" s="822" t="s">
        <v>711</v>
      </c>
      <c r="B267" s="769">
        <f>'12. Materials'!B18</f>
        <v>1</v>
      </c>
      <c r="C267" s="860" t="s">
        <v>93</v>
      </c>
      <c r="D267" s="765" t="s">
        <v>314</v>
      </c>
      <c r="E267" s="765"/>
      <c r="F267" s="765"/>
      <c r="G267" s="851"/>
    </row>
    <row r="268" spans="1:7" x14ac:dyDescent="0.2">
      <c r="A268" s="799"/>
      <c r="B268" s="765"/>
      <c r="C268" s="765"/>
      <c r="D268" s="769">
        <f>'12. Materials'!D19</f>
        <v>0</v>
      </c>
      <c r="E268" s="800" t="s">
        <v>793</v>
      </c>
      <c r="F268" s="800"/>
      <c r="G268" s="852"/>
    </row>
    <row r="269" spans="1:7" x14ac:dyDescent="0.2">
      <c r="A269" s="799"/>
      <c r="B269" s="765"/>
      <c r="C269" s="765"/>
      <c r="D269" s="769">
        <f>'12. Materials'!D20</f>
        <v>0</v>
      </c>
      <c r="E269" s="800" t="s">
        <v>437</v>
      </c>
      <c r="F269" s="800"/>
      <c r="G269" s="852"/>
    </row>
    <row r="270" spans="1:7" x14ac:dyDescent="0.2">
      <c r="A270" s="799"/>
      <c r="B270" s="765"/>
      <c r="C270" s="765"/>
      <c r="D270" s="769" t="str">
        <f>'12. Materials'!D21</f>
        <v>Yes</v>
      </c>
      <c r="E270" s="760" t="s">
        <v>794</v>
      </c>
      <c r="F270" s="760"/>
      <c r="G270" s="845"/>
    </row>
    <row r="271" spans="1:7" x14ac:dyDescent="0.2">
      <c r="A271" s="799"/>
      <c r="B271" s="765"/>
      <c r="C271" s="765"/>
      <c r="D271" s="765"/>
      <c r="E271" s="765"/>
      <c r="F271" s="765"/>
      <c r="G271" s="851"/>
    </row>
    <row r="272" spans="1:7" ht="16" x14ac:dyDescent="0.2">
      <c r="A272" s="777" t="s">
        <v>315</v>
      </c>
      <c r="B272" s="775"/>
      <c r="C272" s="775"/>
      <c r="D272" s="775"/>
      <c r="E272" s="775"/>
      <c r="F272" s="775"/>
      <c r="G272" s="848"/>
    </row>
    <row r="273" spans="1:7" x14ac:dyDescent="0.2">
      <c r="A273" s="822" t="s">
        <v>712</v>
      </c>
      <c r="B273" s="769">
        <f>'12. Materials'!B25</f>
        <v>0</v>
      </c>
      <c r="C273" s="804">
        <v>3</v>
      </c>
      <c r="D273" s="842" t="s">
        <v>768</v>
      </c>
      <c r="E273" s="765"/>
      <c r="F273" s="765"/>
      <c r="G273" s="851"/>
    </row>
    <row r="274" spans="1:7" x14ac:dyDescent="0.2">
      <c r="A274" s="822" t="s">
        <v>713</v>
      </c>
      <c r="B274" s="769">
        <f>'12. Materials'!B26</f>
        <v>0</v>
      </c>
      <c r="C274" s="804">
        <v>2</v>
      </c>
      <c r="D274" s="798" t="s">
        <v>454</v>
      </c>
      <c r="E274" s="798"/>
      <c r="F274" s="798"/>
      <c r="G274" s="853"/>
    </row>
    <row r="275" spans="1:7" x14ac:dyDescent="0.2">
      <c r="A275" s="822" t="s">
        <v>714</v>
      </c>
      <c r="B275" s="769">
        <f>'12. Materials'!B27</f>
        <v>0</v>
      </c>
      <c r="C275" s="797" t="s">
        <v>317</v>
      </c>
      <c r="D275" s="765" t="s">
        <v>318</v>
      </c>
      <c r="E275" s="765"/>
      <c r="F275" s="765"/>
      <c r="G275" s="851"/>
    </row>
    <row r="276" spans="1:7" x14ac:dyDescent="0.2">
      <c r="A276" s="799"/>
      <c r="B276" s="765"/>
      <c r="C276" s="765"/>
      <c r="D276" s="769">
        <f>'12. Materials'!D28</f>
        <v>0</v>
      </c>
      <c r="E276" s="765" t="s">
        <v>319</v>
      </c>
      <c r="F276" s="765"/>
      <c r="G276" s="851"/>
    </row>
    <row r="277" spans="1:7" x14ac:dyDescent="0.2">
      <c r="A277" s="799"/>
      <c r="B277" s="765"/>
      <c r="C277" s="765"/>
      <c r="D277" s="1473">
        <f>'12. Materials'!D29</f>
        <v>0</v>
      </c>
      <c r="E277" s="1473"/>
      <c r="F277" s="842" t="s">
        <v>795</v>
      </c>
      <c r="G277" s="855"/>
    </row>
    <row r="278" spans="1:7" x14ac:dyDescent="0.2">
      <c r="A278" s="796" t="s">
        <v>715</v>
      </c>
      <c r="B278" s="769">
        <f>'12. Materials'!B30</f>
        <v>0</v>
      </c>
      <c r="C278" s="804">
        <v>1</v>
      </c>
      <c r="D278" s="842" t="s">
        <v>320</v>
      </c>
      <c r="E278" s="842"/>
      <c r="F278" s="842"/>
      <c r="G278" s="855"/>
    </row>
    <row r="279" spans="1:7" x14ac:dyDescent="0.2">
      <c r="A279" s="796" t="s">
        <v>716</v>
      </c>
      <c r="B279" s="769">
        <f>'12. Materials'!B31</f>
        <v>2</v>
      </c>
      <c r="C279" s="797" t="s">
        <v>47</v>
      </c>
      <c r="D279" s="842" t="s">
        <v>566</v>
      </c>
      <c r="E279" s="842"/>
      <c r="F279" s="842"/>
      <c r="G279" s="855"/>
    </row>
    <row r="280" spans="1:7" x14ac:dyDescent="0.2">
      <c r="A280" s="824"/>
      <c r="B280" s="764"/>
      <c r="C280" s="764"/>
      <c r="D280" s="769" t="str">
        <f>'12. Materials'!D32</f>
        <v>Yes</v>
      </c>
      <c r="E280" s="765" t="s">
        <v>299</v>
      </c>
      <c r="F280" s="769" t="str">
        <f>'12. Materials'!F32</f>
        <v>Yes</v>
      </c>
      <c r="G280" s="851" t="s">
        <v>300</v>
      </c>
    </row>
    <row r="281" spans="1:7" x14ac:dyDescent="0.2">
      <c r="A281" s="822" t="s">
        <v>717</v>
      </c>
      <c r="B281" s="769">
        <f>'12. Materials'!B33</f>
        <v>0</v>
      </c>
      <c r="C281" s="804">
        <v>1</v>
      </c>
      <c r="D281" s="765" t="s">
        <v>309</v>
      </c>
      <c r="E281" s="765"/>
      <c r="F281" s="765"/>
      <c r="G281" s="851"/>
    </row>
    <row r="282" spans="1:7" x14ac:dyDescent="0.2">
      <c r="A282" s="822" t="s">
        <v>718</v>
      </c>
      <c r="B282" s="769">
        <f>'12. Materials'!B34</f>
        <v>1</v>
      </c>
      <c r="C282" s="804">
        <v>1</v>
      </c>
      <c r="D282" s="765" t="s">
        <v>310</v>
      </c>
      <c r="E282" s="765"/>
      <c r="F282" s="765"/>
      <c r="G282" s="851"/>
    </row>
    <row r="283" spans="1:7" x14ac:dyDescent="0.2">
      <c r="A283" s="822" t="s">
        <v>719</v>
      </c>
      <c r="B283" s="769">
        <f>'12. Materials'!B35</f>
        <v>0</v>
      </c>
      <c r="C283" s="804">
        <v>1</v>
      </c>
      <c r="D283" s="765" t="s">
        <v>321</v>
      </c>
      <c r="E283" s="765"/>
      <c r="F283" s="765"/>
      <c r="G283" s="851"/>
    </row>
    <row r="284" spans="1:7" x14ac:dyDescent="0.2">
      <c r="A284" s="822" t="s">
        <v>720</v>
      </c>
      <c r="B284" s="769">
        <f>'12. Materials'!B36</f>
        <v>0</v>
      </c>
      <c r="C284" s="804">
        <v>1</v>
      </c>
      <c r="D284" s="765" t="s">
        <v>932</v>
      </c>
      <c r="E284" s="765"/>
      <c r="F284" s="765"/>
      <c r="G284" s="851"/>
    </row>
    <row r="285" spans="1:7" x14ac:dyDescent="0.2">
      <c r="A285" s="822" t="s">
        <v>721</v>
      </c>
      <c r="B285" s="769">
        <f>'12. Materials'!B37</f>
        <v>0</v>
      </c>
      <c r="C285" s="804">
        <v>1</v>
      </c>
      <c r="D285" s="765" t="s">
        <v>323</v>
      </c>
      <c r="E285" s="765"/>
      <c r="F285" s="765"/>
      <c r="G285" s="851"/>
    </row>
    <row r="286" spans="1:7" x14ac:dyDescent="0.2">
      <c r="A286" s="822" t="s">
        <v>722</v>
      </c>
      <c r="B286" s="769">
        <f>'12. Materials'!B38</f>
        <v>0</v>
      </c>
      <c r="C286" s="804">
        <v>1</v>
      </c>
      <c r="D286" s="765" t="s">
        <v>324</v>
      </c>
      <c r="E286" s="765"/>
      <c r="F286" s="765"/>
      <c r="G286" s="851"/>
    </row>
    <row r="287" spans="1:7" x14ac:dyDescent="0.2">
      <c r="A287" s="822" t="s">
        <v>723</v>
      </c>
      <c r="B287" s="769">
        <f>'12. Materials'!B39</f>
        <v>0</v>
      </c>
      <c r="C287" s="804">
        <v>1</v>
      </c>
      <c r="D287" s="765" t="s">
        <v>325</v>
      </c>
      <c r="E287" s="765"/>
      <c r="F287" s="765"/>
      <c r="G287" s="851"/>
    </row>
    <row r="288" spans="1:7" x14ac:dyDescent="0.2">
      <c r="A288" s="799"/>
      <c r="B288" s="765"/>
      <c r="C288" s="765"/>
      <c r="D288" s="765"/>
      <c r="E288" s="765"/>
      <c r="F288" s="765"/>
      <c r="G288" s="851"/>
    </row>
    <row r="289" spans="1:7" ht="16" x14ac:dyDescent="0.2">
      <c r="A289" s="777" t="s">
        <v>326</v>
      </c>
      <c r="B289" s="775"/>
      <c r="C289" s="775"/>
      <c r="D289" s="775"/>
      <c r="E289" s="775"/>
      <c r="F289" s="775"/>
      <c r="G289" s="848"/>
    </row>
    <row r="290" spans="1:7" x14ac:dyDescent="0.2">
      <c r="A290" s="796" t="s">
        <v>724</v>
      </c>
      <c r="B290" s="769">
        <f>'12. Materials'!B42</f>
        <v>1</v>
      </c>
      <c r="C290" s="804">
        <v>1</v>
      </c>
      <c r="D290" s="842" t="s">
        <v>488</v>
      </c>
      <c r="E290" s="842"/>
      <c r="F290" s="842"/>
      <c r="G290" s="855"/>
    </row>
    <row r="291" spans="1:7" x14ac:dyDescent="0.2">
      <c r="A291" s="796" t="s">
        <v>725</v>
      </c>
      <c r="B291" s="769">
        <f>'12. Materials'!B43</f>
        <v>1</v>
      </c>
      <c r="C291" s="804">
        <v>1</v>
      </c>
      <c r="D291" s="765" t="s">
        <v>327</v>
      </c>
      <c r="E291" s="765"/>
      <c r="F291" s="765"/>
      <c r="G291" s="851"/>
    </row>
    <row r="292" spans="1:7" x14ac:dyDescent="0.2">
      <c r="A292" s="796" t="s">
        <v>726</v>
      </c>
      <c r="B292" s="769">
        <f>'12. Materials'!B44</f>
        <v>0</v>
      </c>
      <c r="C292" s="804">
        <v>1</v>
      </c>
      <c r="D292" s="765" t="s">
        <v>328</v>
      </c>
      <c r="E292" s="765"/>
      <c r="F292" s="765"/>
      <c r="G292" s="851"/>
    </row>
    <row r="293" spans="1:7" x14ac:dyDescent="0.2">
      <c r="A293" s="796" t="s">
        <v>727</v>
      </c>
      <c r="B293" s="769">
        <f>'12. Materials'!B45</f>
        <v>0</v>
      </c>
      <c r="C293" s="804">
        <v>1</v>
      </c>
      <c r="D293" s="760" t="s">
        <v>567</v>
      </c>
      <c r="E293" s="760"/>
      <c r="F293" s="760"/>
      <c r="G293" s="845"/>
    </row>
    <row r="294" spans="1:7" x14ac:dyDescent="0.2">
      <c r="A294" s="796" t="s">
        <v>728</v>
      </c>
      <c r="B294" s="769">
        <f>'12. Materials'!B46</f>
        <v>0</v>
      </c>
      <c r="C294" s="804">
        <v>1</v>
      </c>
      <c r="D294" s="765" t="s">
        <v>330</v>
      </c>
      <c r="E294" s="765"/>
      <c r="F294" s="765"/>
      <c r="G294" s="851"/>
    </row>
    <row r="295" spans="1:7" x14ac:dyDescent="0.2">
      <c r="A295" s="796" t="s">
        <v>729</v>
      </c>
      <c r="B295" s="769">
        <f>'12. Materials'!B47</f>
        <v>0</v>
      </c>
      <c r="C295" s="804">
        <v>1</v>
      </c>
      <c r="D295" s="765" t="s">
        <v>332</v>
      </c>
      <c r="E295" s="765"/>
      <c r="F295" s="765"/>
      <c r="G295" s="851"/>
    </row>
    <row r="296" spans="1:7" x14ac:dyDescent="0.2">
      <c r="A296" s="796" t="s">
        <v>730</v>
      </c>
      <c r="B296" s="769">
        <f>'12. Materials'!B48</f>
        <v>0</v>
      </c>
      <c r="C296" s="804">
        <v>1</v>
      </c>
      <c r="D296" s="760" t="s">
        <v>515</v>
      </c>
      <c r="E296" s="760"/>
      <c r="F296" s="760"/>
      <c r="G296" s="845"/>
    </row>
    <row r="297" spans="1:7" x14ac:dyDescent="0.2">
      <c r="A297" s="796" t="s">
        <v>731</v>
      </c>
      <c r="B297" s="769">
        <f>'12. Materials'!B49</f>
        <v>1</v>
      </c>
      <c r="C297" s="804">
        <v>1</v>
      </c>
      <c r="D297" s="760" t="s">
        <v>568</v>
      </c>
      <c r="E297" s="760"/>
      <c r="F297" s="760"/>
      <c r="G297" s="845"/>
    </row>
    <row r="298" spans="1:7" x14ac:dyDescent="0.2">
      <c r="A298" s="796" t="s">
        <v>732</v>
      </c>
      <c r="B298" s="769">
        <f>'12. Materials'!B50</f>
        <v>0</v>
      </c>
      <c r="C298" s="804">
        <v>2</v>
      </c>
      <c r="D298" s="765" t="s">
        <v>333</v>
      </c>
      <c r="E298" s="765"/>
      <c r="F298" s="765"/>
      <c r="G298" s="851"/>
    </row>
    <row r="299" spans="1:7" x14ac:dyDescent="0.2">
      <c r="A299" s="796" t="s">
        <v>733</v>
      </c>
      <c r="B299" s="769">
        <f>'12. Materials'!B51</f>
        <v>1</v>
      </c>
      <c r="C299" s="804">
        <v>1</v>
      </c>
      <c r="D299" s="842" t="s">
        <v>456</v>
      </c>
      <c r="E299" s="842"/>
      <c r="F299" s="842"/>
      <c r="G299" s="855"/>
    </row>
    <row r="300" spans="1:7" x14ac:dyDescent="0.2">
      <c r="A300" s="796" t="s">
        <v>734</v>
      </c>
      <c r="B300" s="769">
        <f>'12. Materials'!B52</f>
        <v>0</v>
      </c>
      <c r="C300" s="804">
        <v>1</v>
      </c>
      <c r="D300" s="765" t="s">
        <v>335</v>
      </c>
      <c r="E300" s="765"/>
      <c r="F300" s="765"/>
      <c r="G300" s="851"/>
    </row>
    <row r="301" spans="1:7" x14ac:dyDescent="0.2">
      <c r="A301" s="799"/>
      <c r="B301" s="769">
        <f>'12. Materials'!B53</f>
        <v>8</v>
      </c>
      <c r="C301" s="804">
        <v>48</v>
      </c>
      <c r="D301" s="760" t="s">
        <v>111</v>
      </c>
      <c r="E301" s="760"/>
      <c r="F301" s="760"/>
      <c r="G301" s="845"/>
    </row>
    <row r="302" spans="1:7" x14ac:dyDescent="0.2">
      <c r="A302" s="799"/>
      <c r="B302" s="765"/>
      <c r="C302" s="765"/>
      <c r="D302" s="765"/>
      <c r="E302" s="765"/>
      <c r="F302" s="765"/>
      <c r="G302" s="851"/>
    </row>
    <row r="303" spans="1:7" ht="19" x14ac:dyDescent="0.25">
      <c r="A303" s="799"/>
      <c r="B303" s="772">
        <f>'12. Materials'!B55</f>
        <v>8</v>
      </c>
      <c r="C303" s="812" t="s">
        <v>336</v>
      </c>
      <c r="D303" s="812"/>
      <c r="E303" s="812"/>
      <c r="F303" s="812"/>
      <c r="G303" s="854"/>
    </row>
    <row r="304" spans="1:7" ht="21" customHeight="1" thickBot="1" x14ac:dyDescent="0.25">
      <c r="A304" s="815" t="s">
        <v>337</v>
      </c>
      <c r="B304" s="789"/>
      <c r="C304" s="789"/>
      <c r="D304" s="1458">
        <f>'12. Materials'!E57</f>
        <v>0</v>
      </c>
      <c r="E304" s="1458"/>
      <c r="F304" s="1458"/>
      <c r="G304" s="1459"/>
    </row>
    <row r="305" spans="1:7" ht="19" x14ac:dyDescent="0.25">
      <c r="A305" s="780" t="s">
        <v>801</v>
      </c>
      <c r="B305" s="781"/>
      <c r="C305" s="781"/>
      <c r="D305" s="781"/>
      <c r="E305" s="781"/>
      <c r="F305" s="781"/>
      <c r="G305" s="783"/>
    </row>
    <row r="306" spans="1:7" ht="16" x14ac:dyDescent="0.2">
      <c r="A306" s="794" t="s">
        <v>222</v>
      </c>
      <c r="B306" s="778"/>
      <c r="C306" s="778"/>
      <c r="D306" s="778"/>
      <c r="E306" s="778"/>
      <c r="F306" s="778"/>
      <c r="G306" s="785"/>
    </row>
    <row r="307" spans="1:7" ht="16" x14ac:dyDescent="0.2">
      <c r="A307" s="777" t="s">
        <v>342</v>
      </c>
      <c r="B307" s="775"/>
      <c r="C307" s="775"/>
      <c r="D307" s="775"/>
      <c r="E307" s="775"/>
      <c r="F307" s="795"/>
      <c r="G307" s="785"/>
    </row>
    <row r="308" spans="1:7" x14ac:dyDescent="0.2">
      <c r="A308" s="796" t="s">
        <v>735</v>
      </c>
      <c r="B308" s="769">
        <f>'13. Disaster Mitigation'!B5</f>
        <v>0</v>
      </c>
      <c r="C308" s="804">
        <v>2</v>
      </c>
      <c r="D308" s="765" t="s">
        <v>343</v>
      </c>
      <c r="E308" s="765"/>
      <c r="F308" s="762"/>
      <c r="G308" s="785"/>
    </row>
    <row r="309" spans="1:7" x14ac:dyDescent="0.2">
      <c r="A309" s="796" t="s">
        <v>736</v>
      </c>
      <c r="B309" s="769">
        <f>'13. Disaster Mitigation'!B6</f>
        <v>0</v>
      </c>
      <c r="C309" s="804">
        <v>2</v>
      </c>
      <c r="D309" s="765" t="s">
        <v>436</v>
      </c>
      <c r="E309" s="765"/>
      <c r="F309" s="762"/>
      <c r="G309" s="785"/>
    </row>
    <row r="310" spans="1:7" x14ac:dyDescent="0.2">
      <c r="A310" s="796" t="s">
        <v>737</v>
      </c>
      <c r="B310" s="769">
        <f>'13. Disaster Mitigation'!B7</f>
        <v>2</v>
      </c>
      <c r="C310" s="804">
        <v>2</v>
      </c>
      <c r="D310" s="765" t="s">
        <v>457</v>
      </c>
      <c r="E310" s="765"/>
      <c r="F310" s="762"/>
      <c r="G310" s="785"/>
    </row>
    <row r="311" spans="1:7" x14ac:dyDescent="0.2">
      <c r="A311" s="796" t="s">
        <v>738</v>
      </c>
      <c r="B311" s="769">
        <f>'13. Disaster Mitigation'!B8</f>
        <v>0</v>
      </c>
      <c r="C311" s="804">
        <v>1</v>
      </c>
      <c r="D311" s="765" t="s">
        <v>519</v>
      </c>
      <c r="E311" s="765"/>
      <c r="F311" s="762"/>
      <c r="G311" s="785"/>
    </row>
    <row r="312" spans="1:7" x14ac:dyDescent="0.2">
      <c r="A312" s="796" t="s">
        <v>739</v>
      </c>
      <c r="B312" s="769">
        <f>'13. Disaster Mitigation'!B9</f>
        <v>1</v>
      </c>
      <c r="C312" s="804">
        <v>1</v>
      </c>
      <c r="D312" s="760" t="s">
        <v>569</v>
      </c>
      <c r="E312" s="760"/>
      <c r="F312" s="762"/>
      <c r="G312" s="785"/>
    </row>
    <row r="313" spans="1:7" x14ac:dyDescent="0.2">
      <c r="A313" s="796" t="s">
        <v>740</v>
      </c>
      <c r="B313" s="769">
        <f>'13. Disaster Mitigation'!B10</f>
        <v>0</v>
      </c>
      <c r="C313" s="804">
        <v>2</v>
      </c>
      <c r="D313" s="765" t="s">
        <v>345</v>
      </c>
      <c r="E313" s="765"/>
      <c r="F313" s="762"/>
      <c r="G313" s="785"/>
    </row>
    <row r="314" spans="1:7" x14ac:dyDescent="0.2">
      <c r="A314" s="796" t="s">
        <v>741</v>
      </c>
      <c r="B314" s="769">
        <f>'13. Disaster Mitigation'!B11</f>
        <v>0</v>
      </c>
      <c r="C314" s="804">
        <v>2</v>
      </c>
      <c r="D314" s="765" t="s">
        <v>346</v>
      </c>
      <c r="E314" s="765"/>
      <c r="F314" s="762"/>
      <c r="G314" s="785"/>
    </row>
    <row r="315" spans="1:7" x14ac:dyDescent="0.2">
      <c r="A315" s="796" t="s">
        <v>742</v>
      </c>
      <c r="B315" s="769">
        <f>'13. Disaster Mitigation'!B14</f>
        <v>0</v>
      </c>
      <c r="C315" s="804">
        <v>5</v>
      </c>
      <c r="D315" s="831" t="s">
        <v>757</v>
      </c>
      <c r="E315" s="831"/>
      <c r="F315" s="762"/>
      <c r="G315" s="785"/>
    </row>
    <row r="316" spans="1:7" ht="16" x14ac:dyDescent="0.2">
      <c r="A316" s="777" t="s">
        <v>818</v>
      </c>
      <c r="B316" s="775"/>
      <c r="C316" s="775"/>
      <c r="D316" s="775"/>
      <c r="E316" s="775"/>
      <c r="F316" s="795"/>
      <c r="G316" s="785"/>
    </row>
    <row r="317" spans="1:7" x14ac:dyDescent="0.2">
      <c r="A317" s="796" t="s">
        <v>747</v>
      </c>
      <c r="B317" s="769">
        <f>'13. Disaster Mitigation'!B17</f>
        <v>0</v>
      </c>
      <c r="C317" s="804">
        <v>3</v>
      </c>
      <c r="D317" s="769">
        <f>'13. Disaster Mitigation'!D17</f>
        <v>0</v>
      </c>
      <c r="E317" s="765" t="s">
        <v>349</v>
      </c>
      <c r="F317" s="762"/>
      <c r="G317" s="785"/>
    </row>
    <row r="318" spans="1:7" x14ac:dyDescent="0.2">
      <c r="A318" s="799"/>
      <c r="B318" s="765"/>
      <c r="C318" s="765"/>
      <c r="D318" s="769">
        <f>'13. Disaster Mitigation'!D18</f>
        <v>0</v>
      </c>
      <c r="E318" s="765" t="s">
        <v>350</v>
      </c>
      <c r="F318" s="762"/>
      <c r="G318" s="785"/>
    </row>
    <row r="319" spans="1:7" x14ac:dyDescent="0.2">
      <c r="A319" s="799"/>
      <c r="B319" s="765"/>
      <c r="C319" s="765"/>
      <c r="D319" s="769">
        <f>'13. Disaster Mitigation'!D19</f>
        <v>0</v>
      </c>
      <c r="E319" s="760" t="s">
        <v>758</v>
      </c>
      <c r="F319" s="762"/>
      <c r="G319" s="785"/>
    </row>
    <row r="320" spans="1:7" ht="16" x14ac:dyDescent="0.2">
      <c r="A320" s="777" t="s">
        <v>935</v>
      </c>
      <c r="B320" s="775"/>
      <c r="C320" s="775"/>
      <c r="D320" s="775"/>
      <c r="E320" s="775"/>
      <c r="F320" s="795"/>
      <c r="G320" s="785"/>
    </row>
    <row r="321" spans="1:7" x14ac:dyDescent="0.2">
      <c r="A321" s="796" t="s">
        <v>913</v>
      </c>
      <c r="B321" s="769">
        <f>'13. Disaster Mitigation'!B22</f>
        <v>0</v>
      </c>
      <c r="C321" s="804">
        <v>3</v>
      </c>
      <c r="D321" s="769">
        <f>'13. Disaster Mitigation'!D22</f>
        <v>0</v>
      </c>
      <c r="E321" s="765" t="s">
        <v>352</v>
      </c>
      <c r="F321" s="762"/>
      <c r="G321" s="785"/>
    </row>
    <row r="322" spans="1:7" x14ac:dyDescent="0.2">
      <c r="A322" s="799"/>
      <c r="B322" s="765"/>
      <c r="C322" s="765"/>
      <c r="D322" s="769">
        <f>'13. Disaster Mitigation'!D23</f>
        <v>0</v>
      </c>
      <c r="E322" s="765" t="s">
        <v>353</v>
      </c>
      <c r="F322" s="762"/>
      <c r="G322" s="785"/>
    </row>
    <row r="323" spans="1:7" x14ac:dyDescent="0.2">
      <c r="A323" s="799"/>
      <c r="B323" s="765"/>
      <c r="C323" s="765"/>
      <c r="D323" s="769">
        <f>'13. Disaster Mitigation'!D24</f>
        <v>0</v>
      </c>
      <c r="E323" s="765" t="s">
        <v>354</v>
      </c>
      <c r="F323" s="762"/>
      <c r="G323" s="785"/>
    </row>
    <row r="324" spans="1:7" x14ac:dyDescent="0.2">
      <c r="A324" s="876" t="s">
        <v>914</v>
      </c>
      <c r="B324" s="769">
        <v>0</v>
      </c>
      <c r="C324" s="869">
        <v>3</v>
      </c>
      <c r="D324" s="750" t="s">
        <v>75</v>
      </c>
      <c r="E324" s="766" t="s">
        <v>915</v>
      </c>
      <c r="F324" s="762"/>
      <c r="G324" s="784"/>
    </row>
    <row r="325" spans="1:7" ht="16" x14ac:dyDescent="0.2">
      <c r="A325" s="777" t="s">
        <v>769</v>
      </c>
      <c r="B325" s="775"/>
      <c r="C325" s="775"/>
      <c r="D325" s="775"/>
      <c r="E325" s="775"/>
      <c r="F325" s="795"/>
      <c r="G325" s="785"/>
    </row>
    <row r="326" spans="1:7" x14ac:dyDescent="0.2">
      <c r="A326" s="796" t="s">
        <v>746</v>
      </c>
      <c r="B326" s="769">
        <f>'13. Disaster Mitigation'!B28</f>
        <v>0</v>
      </c>
      <c r="C326" s="823" t="s">
        <v>47</v>
      </c>
      <c r="D326" s="760" t="s">
        <v>770</v>
      </c>
      <c r="E326" s="760"/>
      <c r="F326" s="762"/>
      <c r="G326" s="785"/>
    </row>
    <row r="327" spans="1:7" ht="16" x14ac:dyDescent="0.2">
      <c r="A327" s="777" t="s">
        <v>819</v>
      </c>
      <c r="B327" s="775"/>
      <c r="C327" s="775"/>
      <c r="D327" s="775"/>
      <c r="E327" s="775"/>
      <c r="F327" s="795"/>
      <c r="G327" s="785"/>
    </row>
    <row r="328" spans="1:7" x14ac:dyDescent="0.2">
      <c r="A328" s="799"/>
      <c r="B328" s="861" t="s">
        <v>514</v>
      </c>
      <c r="C328" s="765" t="s">
        <v>355</v>
      </c>
      <c r="D328" s="765"/>
      <c r="E328" s="765"/>
      <c r="F328" s="762"/>
      <c r="G328" s="785"/>
    </row>
    <row r="329" spans="1:7" x14ac:dyDescent="0.2">
      <c r="A329" s="799"/>
      <c r="B329" s="861" t="s">
        <v>514</v>
      </c>
      <c r="C329" s="765" t="s">
        <v>356</v>
      </c>
      <c r="D329" s="765"/>
      <c r="E329" s="765"/>
      <c r="F329" s="762"/>
      <c r="G329" s="785"/>
    </row>
    <row r="330" spans="1:7" x14ac:dyDescent="0.2">
      <c r="A330" s="799"/>
      <c r="B330" s="861" t="s">
        <v>514</v>
      </c>
      <c r="C330" s="765" t="s">
        <v>357</v>
      </c>
      <c r="D330" s="765"/>
      <c r="E330" s="765"/>
      <c r="F330" s="762"/>
      <c r="G330" s="785"/>
    </row>
    <row r="331" spans="1:7" x14ac:dyDescent="0.2">
      <c r="A331" s="796" t="s">
        <v>797</v>
      </c>
      <c r="B331" s="770">
        <f>'13. Disaster Mitigation'!B34</f>
        <v>0</v>
      </c>
      <c r="C331" s="804">
        <v>10</v>
      </c>
      <c r="D331" s="874" t="s">
        <v>743</v>
      </c>
      <c r="E331" s="862"/>
      <c r="F331" s="762"/>
      <c r="G331" s="785"/>
    </row>
    <row r="332" spans="1:7" x14ac:dyDescent="0.2">
      <c r="A332" s="799"/>
      <c r="B332" s="765"/>
      <c r="C332" s="765"/>
      <c r="D332" s="769">
        <f>'13. Disaster Mitigation'!D35</f>
        <v>0</v>
      </c>
      <c r="E332" s="765" t="s">
        <v>358</v>
      </c>
      <c r="F332" s="762"/>
      <c r="G332" s="785"/>
    </row>
    <row r="333" spans="1:7" x14ac:dyDescent="0.2">
      <c r="A333" s="799"/>
      <c r="B333" s="765"/>
      <c r="C333" s="765"/>
      <c r="D333" s="769">
        <f>'13. Disaster Mitigation'!D36</f>
        <v>0</v>
      </c>
      <c r="E333" s="765" t="s">
        <v>929</v>
      </c>
      <c r="F333" s="762"/>
      <c r="G333" s="875"/>
    </row>
    <row r="334" spans="1:7" x14ac:dyDescent="0.2">
      <c r="A334" s="799"/>
      <c r="B334" s="765"/>
      <c r="C334" s="765"/>
      <c r="D334" s="769">
        <f>'13. Disaster Mitigation'!D37</f>
        <v>0</v>
      </c>
      <c r="E334" s="760" t="s">
        <v>800</v>
      </c>
      <c r="F334" s="762"/>
      <c r="G334" s="785"/>
    </row>
    <row r="335" spans="1:7" x14ac:dyDescent="0.2">
      <c r="A335" s="799"/>
      <c r="B335" s="765"/>
      <c r="C335" s="765"/>
      <c r="D335" s="769">
        <f>'13. Disaster Mitigation'!D38</f>
        <v>0</v>
      </c>
      <c r="E335" s="765" t="s">
        <v>360</v>
      </c>
      <c r="F335" s="762"/>
      <c r="G335" s="785"/>
    </row>
    <row r="336" spans="1:7" x14ac:dyDescent="0.2">
      <c r="A336" s="799"/>
      <c r="B336" s="765"/>
      <c r="C336" s="765"/>
      <c r="D336" s="769">
        <f>'13. Disaster Mitigation'!D39</f>
        <v>0</v>
      </c>
      <c r="E336" s="765" t="s">
        <v>361</v>
      </c>
      <c r="F336" s="762"/>
      <c r="G336" s="785"/>
    </row>
    <row r="337" spans="1:7" x14ac:dyDescent="0.2">
      <c r="A337" s="824"/>
      <c r="B337" s="863" t="s">
        <v>365</v>
      </c>
      <c r="C337" s="864"/>
      <c r="D337" s="765"/>
      <c r="E337" s="765"/>
      <c r="F337" s="762"/>
      <c r="G337" s="785"/>
    </row>
    <row r="338" spans="1:7" x14ac:dyDescent="0.2">
      <c r="A338" s="796" t="s">
        <v>798</v>
      </c>
      <c r="B338" s="865"/>
      <c r="C338" s="804">
        <v>10</v>
      </c>
      <c r="D338" s="874" t="s">
        <v>744</v>
      </c>
      <c r="E338" s="874"/>
      <c r="F338" s="762"/>
      <c r="G338" s="785"/>
    </row>
    <row r="339" spans="1:7" x14ac:dyDescent="0.2">
      <c r="A339" s="799"/>
      <c r="B339" s="765"/>
      <c r="C339" s="765"/>
      <c r="D339" s="769">
        <f>'13. Disaster Mitigation'!D42</f>
        <v>0</v>
      </c>
      <c r="E339" s="866" t="s">
        <v>362</v>
      </c>
      <c r="F339" s="762"/>
      <c r="G339" s="785"/>
    </row>
    <row r="340" spans="1:7" x14ac:dyDescent="0.2">
      <c r="A340" s="799"/>
      <c r="B340" s="765"/>
      <c r="C340" s="765"/>
      <c r="D340" s="769">
        <f>'13. Disaster Mitigation'!D43</f>
        <v>0</v>
      </c>
      <c r="E340" s="760" t="s">
        <v>461</v>
      </c>
      <c r="F340" s="762"/>
      <c r="G340" s="785"/>
    </row>
    <row r="341" spans="1:7" x14ac:dyDescent="0.2">
      <c r="A341" s="824"/>
      <c r="B341" s="863" t="s">
        <v>365</v>
      </c>
      <c r="C341" s="864"/>
      <c r="D341" s="867"/>
      <c r="E341" s="867"/>
      <c r="F341" s="762"/>
      <c r="G341" s="785"/>
    </row>
    <row r="342" spans="1:7" x14ac:dyDescent="0.2">
      <c r="A342" s="796" t="s">
        <v>799</v>
      </c>
      <c r="B342" s="865"/>
      <c r="C342" s="805">
        <v>12</v>
      </c>
      <c r="D342" s="874" t="s">
        <v>745</v>
      </c>
      <c r="E342" s="874"/>
      <c r="F342" s="762"/>
      <c r="G342" s="785"/>
    </row>
    <row r="343" spans="1:7" x14ac:dyDescent="0.2">
      <c r="A343" s="765"/>
      <c r="B343" s="765"/>
      <c r="C343" s="765"/>
      <c r="D343" s="769">
        <f>'13. Disaster Mitigation'!D46</f>
        <v>0</v>
      </c>
      <c r="E343" s="760" t="s">
        <v>503</v>
      </c>
      <c r="F343" s="762"/>
      <c r="G343" s="785"/>
    </row>
    <row r="344" spans="1:7" x14ac:dyDescent="0.2">
      <c r="A344" s="876" t="s">
        <v>926</v>
      </c>
      <c r="B344" s="770">
        <f>'13. Disaster Mitigation'!B47</f>
        <v>0</v>
      </c>
      <c r="C344" s="869">
        <v>1</v>
      </c>
      <c r="D344" s="872" t="s">
        <v>927</v>
      </c>
      <c r="E344" s="872"/>
      <c r="F344" s="762"/>
      <c r="G344" s="785"/>
    </row>
    <row r="345" spans="1:7" x14ac:dyDescent="0.2">
      <c r="A345" s="765"/>
      <c r="B345" s="769">
        <f>'13. Disaster Mitigation'!B56</f>
        <v>5</v>
      </c>
      <c r="C345" s="804">
        <v>38</v>
      </c>
      <c r="D345" s="868" t="s">
        <v>111</v>
      </c>
      <c r="E345" s="871"/>
      <c r="F345" s="760"/>
      <c r="G345" s="785"/>
    </row>
    <row r="346" spans="1:7" x14ac:dyDescent="0.2">
      <c r="A346" s="799"/>
      <c r="B346" s="765"/>
      <c r="C346" s="765"/>
      <c r="D346" s="765"/>
      <c r="E346" s="765"/>
      <c r="F346" s="760"/>
      <c r="G346" s="785"/>
    </row>
    <row r="347" spans="1:7" ht="21" customHeight="1" x14ac:dyDescent="0.25">
      <c r="A347" s="799"/>
      <c r="B347" s="772">
        <f>'13. Disaster Mitigation'!B58</f>
        <v>5</v>
      </c>
      <c r="C347" s="812" t="s">
        <v>363</v>
      </c>
      <c r="D347" s="812"/>
      <c r="E347" s="812"/>
      <c r="F347" s="760"/>
      <c r="G347" s="785"/>
    </row>
    <row r="348" spans="1:7" ht="16" thickBot="1" x14ac:dyDescent="0.25">
      <c r="A348" s="815" t="s">
        <v>364</v>
      </c>
      <c r="B348" s="789"/>
      <c r="C348" s="789"/>
      <c r="D348" s="1458">
        <f>'13. Disaster Mitigation'!E60</f>
        <v>0</v>
      </c>
      <c r="E348" s="1458"/>
      <c r="F348" s="1458"/>
      <c r="G348" s="1459"/>
    </row>
    <row r="349" spans="1:7" ht="19" x14ac:dyDescent="0.25">
      <c r="A349" s="780" t="s">
        <v>803</v>
      </c>
      <c r="B349" s="781"/>
      <c r="C349" s="781"/>
      <c r="D349" s="781"/>
      <c r="E349" s="781"/>
      <c r="F349" s="781"/>
      <c r="G349" s="783"/>
    </row>
    <row r="350" spans="1:7" ht="16" x14ac:dyDescent="0.2">
      <c r="A350" s="794" t="s">
        <v>392</v>
      </c>
      <c r="B350" s="778"/>
      <c r="C350" s="778"/>
      <c r="D350" s="778"/>
      <c r="E350" s="778"/>
      <c r="F350" s="778"/>
      <c r="G350" s="785"/>
    </row>
    <row r="351" spans="1:7" ht="16" x14ac:dyDescent="0.2">
      <c r="A351" s="777" t="s">
        <v>366</v>
      </c>
      <c r="B351" s="775"/>
      <c r="C351" s="775"/>
      <c r="D351" s="775"/>
      <c r="E351" s="775"/>
      <c r="F351" s="795"/>
      <c r="G351" s="785"/>
    </row>
    <row r="352" spans="1:7" x14ac:dyDescent="0.2">
      <c r="A352" s="822" t="s">
        <v>802</v>
      </c>
      <c r="B352" s="769">
        <f>'14. General'!B5</f>
        <v>0</v>
      </c>
      <c r="C352" s="804" t="s">
        <v>367</v>
      </c>
      <c r="D352" s="765" t="s">
        <v>368</v>
      </c>
      <c r="E352" s="765"/>
      <c r="F352" s="762"/>
      <c r="G352" s="785"/>
    </row>
    <row r="353" spans="1:7" x14ac:dyDescent="0.2">
      <c r="A353" s="824"/>
      <c r="B353" s="764"/>
      <c r="C353" s="804"/>
      <c r="D353" s="829">
        <f>'14. General'!D6</f>
        <v>0</v>
      </c>
      <c r="E353" s="765" t="s">
        <v>369</v>
      </c>
      <c r="F353" s="762"/>
      <c r="G353" s="785"/>
    </row>
    <row r="354" spans="1:7" ht="16" x14ac:dyDescent="0.2">
      <c r="A354" s="777" t="s">
        <v>370</v>
      </c>
      <c r="B354" s="775"/>
      <c r="C354" s="775"/>
      <c r="D354" s="775"/>
      <c r="E354" s="775"/>
      <c r="F354" s="795"/>
      <c r="G354" s="785"/>
    </row>
    <row r="355" spans="1:7" x14ac:dyDescent="0.2">
      <c r="A355" s="822" t="s">
        <v>804</v>
      </c>
      <c r="B355" s="769">
        <f>'14. General'!B9</f>
        <v>0</v>
      </c>
      <c r="C355" s="804">
        <v>2</v>
      </c>
      <c r="D355" s="842" t="s">
        <v>371</v>
      </c>
      <c r="E355" s="842"/>
      <c r="F355" s="762"/>
      <c r="G355" s="785"/>
    </row>
    <row r="356" spans="1:7" x14ac:dyDescent="0.2">
      <c r="A356" s="822" t="s">
        <v>805</v>
      </c>
      <c r="B356" s="769">
        <f>'14. General'!B10</f>
        <v>0</v>
      </c>
      <c r="C356" s="860" t="s">
        <v>47</v>
      </c>
      <c r="D356" s="765" t="s">
        <v>372</v>
      </c>
      <c r="E356" s="765"/>
      <c r="F356" s="762"/>
      <c r="G356" s="785"/>
    </row>
    <row r="357" spans="1:7" x14ac:dyDescent="0.2">
      <c r="A357" s="822" t="s">
        <v>806</v>
      </c>
      <c r="B357" s="769">
        <f>'14. General'!B11</f>
        <v>0</v>
      </c>
      <c r="C357" s="804">
        <v>1</v>
      </c>
      <c r="D357" s="760" t="s">
        <v>506</v>
      </c>
      <c r="E357" s="760"/>
      <c r="F357" s="762"/>
      <c r="G357" s="785"/>
    </row>
    <row r="358" spans="1:7" ht="16" x14ac:dyDescent="0.2">
      <c r="A358" s="777" t="s">
        <v>373</v>
      </c>
      <c r="B358" s="775"/>
      <c r="C358" s="775"/>
      <c r="D358" s="775"/>
      <c r="E358" s="775"/>
      <c r="F358" s="795"/>
      <c r="G358" s="785"/>
    </row>
    <row r="359" spans="1:7" x14ac:dyDescent="0.2">
      <c r="A359" s="822" t="s">
        <v>807</v>
      </c>
      <c r="B359" s="769">
        <f>'14. General'!B18</f>
        <v>0</v>
      </c>
      <c r="C359" s="860" t="s">
        <v>474</v>
      </c>
      <c r="D359" s="798" t="s">
        <v>374</v>
      </c>
      <c r="E359" s="798"/>
      <c r="F359" s="762"/>
      <c r="G359" s="785"/>
    </row>
    <row r="360" spans="1:7" x14ac:dyDescent="0.2">
      <c r="A360" s="799"/>
      <c r="B360" s="765"/>
      <c r="C360" s="765"/>
      <c r="D360" s="769">
        <f>'14. General'!D19</f>
        <v>0</v>
      </c>
      <c r="E360" s="762" t="s">
        <v>504</v>
      </c>
      <c r="F360" s="762"/>
      <c r="G360" s="785"/>
    </row>
    <row r="361" spans="1:7" ht="16" x14ac:dyDescent="0.2">
      <c r="A361" s="777" t="s">
        <v>375</v>
      </c>
      <c r="B361" s="775"/>
      <c r="C361" s="775"/>
      <c r="D361" s="775"/>
      <c r="E361" s="775"/>
      <c r="F361" s="795"/>
      <c r="G361" s="785"/>
    </row>
    <row r="362" spans="1:7" x14ac:dyDescent="0.2">
      <c r="A362" s="822" t="s">
        <v>808</v>
      </c>
      <c r="B362" s="773">
        <f>'14. General'!B22</f>
        <v>0</v>
      </c>
      <c r="C362" s="802">
        <v>10</v>
      </c>
      <c r="D362" s="849" t="s">
        <v>570</v>
      </c>
      <c r="E362" s="849"/>
      <c r="F362" s="762"/>
      <c r="G362" s="785"/>
    </row>
    <row r="363" spans="1:7" x14ac:dyDescent="0.2">
      <c r="A363" s="822" t="s">
        <v>809</v>
      </c>
      <c r="B363" s="769">
        <f>'14. General'!B23</f>
        <v>0</v>
      </c>
      <c r="C363" s="804">
        <v>3</v>
      </c>
      <c r="D363" s="842" t="s">
        <v>577</v>
      </c>
      <c r="E363" s="842"/>
      <c r="F363" s="762"/>
      <c r="G363" s="785"/>
    </row>
    <row r="364" spans="1:7" x14ac:dyDescent="0.2">
      <c r="A364" s="822" t="s">
        <v>810</v>
      </c>
      <c r="B364" s="769">
        <f>'14. General'!B24</f>
        <v>0</v>
      </c>
      <c r="C364" s="804">
        <v>2</v>
      </c>
      <c r="D364" s="765" t="s">
        <v>377</v>
      </c>
      <c r="E364" s="765"/>
      <c r="F364" s="762"/>
      <c r="G364" s="785"/>
    </row>
    <row r="365" spans="1:7" x14ac:dyDescent="0.2">
      <c r="A365" s="822" t="s">
        <v>811</v>
      </c>
      <c r="B365" s="769">
        <f>'14. General'!B25</f>
        <v>0</v>
      </c>
      <c r="C365" s="805">
        <v>2</v>
      </c>
      <c r="D365" s="760" t="s">
        <v>531</v>
      </c>
      <c r="E365" s="760"/>
      <c r="F365" s="762"/>
      <c r="G365" s="785"/>
    </row>
    <row r="366" spans="1:7" x14ac:dyDescent="0.2">
      <c r="A366" s="822" t="s">
        <v>891</v>
      </c>
      <c r="B366" s="769">
        <f>'14. General'!B26</f>
        <v>0</v>
      </c>
      <c r="C366" s="805">
        <v>2</v>
      </c>
      <c r="D366" s="1465" t="s">
        <v>892</v>
      </c>
      <c r="E366" s="1465"/>
      <c r="F366" s="762"/>
      <c r="G366" s="785"/>
    </row>
    <row r="367" spans="1:7" ht="16" x14ac:dyDescent="0.2">
      <c r="A367" s="777" t="s">
        <v>378</v>
      </c>
      <c r="B367" s="775"/>
      <c r="C367" s="775"/>
      <c r="D367" s="775"/>
      <c r="E367" s="775"/>
      <c r="F367" s="795"/>
      <c r="G367" s="785"/>
    </row>
    <row r="368" spans="1:7" x14ac:dyDescent="0.2">
      <c r="A368" s="822" t="s">
        <v>812</v>
      </c>
      <c r="B368" s="769">
        <f>'14. General'!B29</f>
        <v>1</v>
      </c>
      <c r="C368" s="797" t="s">
        <v>47</v>
      </c>
      <c r="D368" s="765" t="s">
        <v>379</v>
      </c>
      <c r="E368" s="765"/>
      <c r="F368" s="762"/>
      <c r="G368" s="785"/>
    </row>
    <row r="369" spans="1:7" x14ac:dyDescent="0.2">
      <c r="A369" s="799"/>
      <c r="B369" s="765"/>
      <c r="C369" s="765"/>
      <c r="D369" s="769">
        <f>'14. General'!D30</f>
        <v>1</v>
      </c>
      <c r="E369" s="765" t="s">
        <v>380</v>
      </c>
      <c r="F369" s="762"/>
      <c r="G369" s="785"/>
    </row>
    <row r="370" spans="1:7" x14ac:dyDescent="0.2">
      <c r="A370" s="822" t="s">
        <v>813</v>
      </c>
      <c r="B370" s="769">
        <f>'14. General'!B31</f>
        <v>2</v>
      </c>
      <c r="C370" s="823" t="s">
        <v>505</v>
      </c>
      <c r="D370" s="842" t="s">
        <v>756</v>
      </c>
      <c r="E370" s="842"/>
      <c r="F370" s="762"/>
      <c r="G370" s="785"/>
    </row>
    <row r="371" spans="1:7" x14ac:dyDescent="0.2">
      <c r="A371" s="822" t="s">
        <v>814</v>
      </c>
      <c r="B371" s="769">
        <f>'14. General'!B32</f>
        <v>2</v>
      </c>
      <c r="C371" s="804">
        <v>2</v>
      </c>
      <c r="D371" s="842" t="s">
        <v>773</v>
      </c>
      <c r="E371" s="842"/>
      <c r="F371" s="762"/>
      <c r="G371" s="785"/>
    </row>
    <row r="372" spans="1:7" x14ac:dyDescent="0.2">
      <c r="A372" s="822" t="s">
        <v>815</v>
      </c>
      <c r="B372" s="769">
        <f>'14. General'!B33</f>
        <v>0</v>
      </c>
      <c r="C372" s="844">
        <v>1</v>
      </c>
      <c r="D372" s="765" t="s">
        <v>384</v>
      </c>
      <c r="E372" s="765"/>
      <c r="F372" s="762"/>
      <c r="G372" s="785"/>
    </row>
    <row r="373" spans="1:7" x14ac:dyDescent="0.2">
      <c r="A373" s="822" t="s">
        <v>816</v>
      </c>
      <c r="B373" s="769">
        <f>'14. General'!B35</f>
        <v>0</v>
      </c>
      <c r="C373" s="804">
        <v>2</v>
      </c>
      <c r="D373" s="765" t="s">
        <v>385</v>
      </c>
      <c r="E373" s="765"/>
      <c r="F373" s="762"/>
      <c r="G373" s="785"/>
    </row>
    <row r="374" spans="1:7" x14ac:dyDescent="0.2">
      <c r="A374" s="822" t="s">
        <v>817</v>
      </c>
      <c r="B374" s="769">
        <f>'14. General'!B37</f>
        <v>0</v>
      </c>
      <c r="C374" s="823" t="s">
        <v>104</v>
      </c>
      <c r="D374" s="831" t="s">
        <v>387</v>
      </c>
      <c r="E374" s="831"/>
      <c r="F374" s="762"/>
      <c r="G374" s="785"/>
    </row>
    <row r="375" spans="1:7" x14ac:dyDescent="0.2">
      <c r="A375" s="786"/>
      <c r="B375" s="765"/>
      <c r="C375" s="765"/>
      <c r="D375" s="765" t="s">
        <v>388</v>
      </c>
      <c r="E375" s="765"/>
      <c r="F375" s="762"/>
      <c r="G375" s="785"/>
    </row>
    <row r="376" spans="1:7" x14ac:dyDescent="0.2">
      <c r="A376" s="799"/>
      <c r="B376" s="765"/>
      <c r="C376" s="765"/>
      <c r="D376" s="1463">
        <f>'14. General'!D39</f>
        <v>0</v>
      </c>
      <c r="E376" s="1463"/>
      <c r="F376" s="1463"/>
      <c r="G376" s="1464"/>
    </row>
    <row r="377" spans="1:7" x14ac:dyDescent="0.2">
      <c r="A377" s="799"/>
      <c r="B377" s="769">
        <f>'14. General'!B40</f>
        <v>5</v>
      </c>
      <c r="C377" s="804">
        <v>84</v>
      </c>
      <c r="D377" s="868" t="s">
        <v>111</v>
      </c>
      <c r="E377" s="868"/>
      <c r="F377" s="760"/>
      <c r="G377" s="785"/>
    </row>
    <row r="378" spans="1:7" x14ac:dyDescent="0.2">
      <c r="A378" s="799"/>
      <c r="B378" s="765"/>
      <c r="C378" s="765"/>
      <c r="D378" s="765"/>
      <c r="E378" s="765"/>
      <c r="F378" s="760"/>
      <c r="G378" s="785"/>
    </row>
    <row r="379" spans="1:7" s="784" customFormat="1" ht="19" x14ac:dyDescent="0.25">
      <c r="A379" s="799"/>
      <c r="B379" s="772">
        <f>'14. General'!B42</f>
        <v>5</v>
      </c>
      <c r="C379" s="812" t="s">
        <v>389</v>
      </c>
      <c r="D379" s="812"/>
      <c r="E379" s="812"/>
      <c r="F379" s="760"/>
      <c r="G379" s="785"/>
    </row>
    <row r="380" spans="1:7" s="784" customFormat="1" ht="16" thickBot="1" x14ac:dyDescent="0.25">
      <c r="A380" s="815" t="s">
        <v>390</v>
      </c>
      <c r="B380" s="789"/>
      <c r="C380" s="789"/>
      <c r="D380" s="1458">
        <f>'14. General'!E44</f>
        <v>0</v>
      </c>
      <c r="E380" s="1458"/>
      <c r="F380" s="1458"/>
      <c r="G380" s="1459"/>
    </row>
    <row r="381" spans="1:7" ht="16" thickBot="1" x14ac:dyDescent="0.25">
      <c r="A381" s="1929"/>
      <c r="B381" s="1929"/>
      <c r="C381" s="1929"/>
      <c r="D381" s="1929"/>
      <c r="E381" s="1929"/>
      <c r="F381" s="1929"/>
      <c r="G381" s="1929"/>
    </row>
    <row r="382" spans="1:7" ht="22.5" customHeight="1" x14ac:dyDescent="0.25">
      <c r="A382" s="1924" t="s">
        <v>127</v>
      </c>
      <c r="B382" s="1925"/>
      <c r="C382" s="1925"/>
      <c r="D382" s="1925"/>
      <c r="E382" s="1925"/>
      <c r="F382" s="1925"/>
      <c r="G382" s="1926"/>
    </row>
    <row r="383" spans="1:7" x14ac:dyDescent="0.2">
      <c r="A383" s="425" t="s">
        <v>128</v>
      </c>
      <c r="B383" s="617"/>
      <c r="C383" s="617"/>
      <c r="D383" s="617"/>
      <c r="E383" s="427" t="s">
        <v>129</v>
      </c>
      <c r="F383" s="428"/>
      <c r="G383" s="429" t="s">
        <v>130</v>
      </c>
    </row>
    <row r="384" spans="1:7" x14ac:dyDescent="0.2">
      <c r="A384" s="430" t="s">
        <v>131</v>
      </c>
      <c r="B384" s="153"/>
      <c r="C384" s="617"/>
      <c r="D384" s="617"/>
      <c r="E384" s="615">
        <f>B62</f>
        <v>43</v>
      </c>
      <c r="F384" s="617"/>
      <c r="G384" s="431" t="s">
        <v>132</v>
      </c>
    </row>
    <row r="385" spans="1:9" x14ac:dyDescent="0.2">
      <c r="A385" s="430" t="s">
        <v>133</v>
      </c>
      <c r="B385" s="153"/>
      <c r="C385" s="617"/>
      <c r="D385" s="617"/>
      <c r="E385" s="615">
        <f>B122</f>
        <v>12</v>
      </c>
      <c r="F385" s="617"/>
      <c r="G385" s="431" t="s">
        <v>134</v>
      </c>
    </row>
    <row r="386" spans="1:9" x14ac:dyDescent="0.2">
      <c r="A386" s="430" t="s">
        <v>135</v>
      </c>
      <c r="B386" s="153"/>
      <c r="C386" s="153"/>
      <c r="D386" s="617"/>
      <c r="E386" s="615">
        <f>B161</f>
        <v>0</v>
      </c>
      <c r="F386" s="617"/>
      <c r="G386" s="432" t="s">
        <v>839</v>
      </c>
    </row>
    <row r="387" spans="1:9" x14ac:dyDescent="0.2">
      <c r="A387" s="430" t="s">
        <v>137</v>
      </c>
      <c r="B387" s="153"/>
      <c r="C387" s="617"/>
      <c r="D387" s="617"/>
      <c r="E387" s="615">
        <f>B196</f>
        <v>4</v>
      </c>
      <c r="F387" s="617"/>
      <c r="G387" s="433" t="s">
        <v>837</v>
      </c>
    </row>
    <row r="388" spans="1:9" x14ac:dyDescent="0.2">
      <c r="A388" s="430" t="s">
        <v>139</v>
      </c>
      <c r="B388" s="153"/>
      <c r="C388" s="617"/>
      <c r="D388" s="617"/>
      <c r="E388" s="615">
        <f>B249</f>
        <v>22</v>
      </c>
      <c r="F388" s="617"/>
      <c r="G388" s="431" t="s">
        <v>140</v>
      </c>
    </row>
    <row r="389" spans="1:9" x14ac:dyDescent="0.2">
      <c r="A389" s="430" t="s">
        <v>141</v>
      </c>
      <c r="B389" s="153"/>
      <c r="C389" s="617"/>
      <c r="D389" s="617"/>
      <c r="E389" s="615">
        <f>B303</f>
        <v>8</v>
      </c>
      <c r="F389" s="617"/>
      <c r="G389" s="434" t="s">
        <v>142</v>
      </c>
    </row>
    <row r="390" spans="1:9" x14ac:dyDescent="0.2">
      <c r="A390" s="430" t="s">
        <v>143</v>
      </c>
      <c r="B390" s="153"/>
      <c r="C390" s="153"/>
      <c r="D390" s="617"/>
      <c r="E390" s="615">
        <f>B347</f>
        <v>5</v>
      </c>
      <c r="F390" s="617"/>
      <c r="G390" s="433" t="s">
        <v>837</v>
      </c>
    </row>
    <row r="391" spans="1:9" x14ac:dyDescent="0.2">
      <c r="A391" s="430" t="s">
        <v>144</v>
      </c>
      <c r="B391" s="153"/>
      <c r="C391" s="617"/>
      <c r="D391" s="617"/>
      <c r="E391" s="615">
        <f>B379</f>
        <v>5</v>
      </c>
      <c r="F391" s="617"/>
      <c r="G391" s="432" t="s">
        <v>838</v>
      </c>
    </row>
    <row r="392" spans="1:9" ht="19" x14ac:dyDescent="0.25">
      <c r="A392" s="616"/>
      <c r="B392" s="435"/>
      <c r="C392" s="617"/>
      <c r="D392" s="382" t="s">
        <v>146</v>
      </c>
      <c r="E392" s="436">
        <f>SUM(E384:E391)</f>
        <v>99</v>
      </c>
      <c r="F392" s="617"/>
      <c r="G392" s="437"/>
    </row>
    <row r="393" spans="1:9" ht="19" x14ac:dyDescent="0.25">
      <c r="A393" s="616"/>
      <c r="B393" s="435"/>
      <c r="C393" s="617"/>
      <c r="D393" s="614" t="s">
        <v>147</v>
      </c>
      <c r="E393" s="436">
        <v>100</v>
      </c>
      <c r="F393" s="617"/>
      <c r="G393" s="437"/>
    </row>
    <row r="394" spans="1:9" x14ac:dyDescent="0.2">
      <c r="A394" s="616"/>
      <c r="B394" s="617"/>
      <c r="D394" s="438"/>
      <c r="E394" s="438"/>
      <c r="F394" s="438"/>
      <c r="G394" s="417"/>
    </row>
    <row r="395" spans="1:9" ht="16" thickBot="1" x14ac:dyDescent="0.25">
      <c r="A395" s="1454" t="s">
        <v>441</v>
      </c>
      <c r="B395" s="1455"/>
      <c r="C395" s="1455"/>
      <c r="D395" s="1455"/>
      <c r="E395" s="439" t="str">
        <f>IF(I399&lt;0,"Failed","")</f>
        <v>Failed</v>
      </c>
      <c r="G395" s="418"/>
    </row>
    <row r="396" spans="1:9" ht="16" thickBot="1" x14ac:dyDescent="0.25">
      <c r="A396" s="1454"/>
      <c r="B396" s="1455"/>
      <c r="C396" s="1455"/>
      <c r="D396" s="1455"/>
      <c r="E396" s="440" t="str">
        <f>IF(AND(I399&gt;=0,I399&lt;=30),"Bronze","")</f>
        <v/>
      </c>
      <c r="G396" s="610" t="s">
        <v>848</v>
      </c>
    </row>
    <row r="397" spans="1:9" x14ac:dyDescent="0.2">
      <c r="A397" s="1454"/>
      <c r="B397" s="1455"/>
      <c r="C397" s="1455"/>
      <c r="D397" s="1455"/>
      <c r="E397" s="441" t="str">
        <f>IF(AND(I399&gt;=31,I399&lt;=60),"Silver","")</f>
        <v/>
      </c>
      <c r="F397" s="608"/>
      <c r="G397" s="600" t="str">
        <f>'3. Application'!F43</f>
        <v>Total Square Footage of home/unit</v>
      </c>
    </row>
    <row r="398" spans="1:9" x14ac:dyDescent="0.2">
      <c r="A398" s="1454"/>
      <c r="B398" s="1455"/>
      <c r="C398" s="1455"/>
      <c r="D398" s="1455"/>
      <c r="E398" s="441" t="str">
        <f>IF(AND(I399&gt;=61,I399&lt;=90),"Gold","")</f>
        <v/>
      </c>
      <c r="F398" s="608"/>
      <c r="G398" s="600" t="str">
        <f>'3. Application'!F44</f>
        <v>Conditioned Square Footage of home/unit</v>
      </c>
    </row>
    <row r="399" spans="1:9" ht="16" thickBot="1" x14ac:dyDescent="0.25">
      <c r="A399" s="1456"/>
      <c r="B399" s="1457"/>
      <c r="C399" s="1457"/>
      <c r="D399" s="1457"/>
      <c r="E399" s="442" t="str">
        <f>IF(I399&gt;=91,"Platinum","")</f>
        <v/>
      </c>
      <c r="F399" s="609"/>
      <c r="G399" s="607"/>
      <c r="I399" s="624">
        <f>E392-E393</f>
        <v>-1</v>
      </c>
    </row>
    <row r="400" spans="1:9" x14ac:dyDescent="0.2">
      <c r="I400" s="624"/>
    </row>
  </sheetData>
  <sheetProtection selectLockedCells="1" selectUnlockedCells="1"/>
  <mergeCells count="21">
    <mergeCell ref="A395:D399"/>
    <mergeCell ref="A381:G381"/>
    <mergeCell ref="D348:G348"/>
    <mergeCell ref="D366:E366"/>
    <mergeCell ref="D376:G376"/>
    <mergeCell ref="D380:G380"/>
    <mergeCell ref="D63:G63"/>
    <mergeCell ref="D64:G64"/>
    <mergeCell ref="C104:C113"/>
    <mergeCell ref="D123:G123"/>
    <mergeCell ref="A382:G382"/>
    <mergeCell ref="D124:G124"/>
    <mergeCell ref="D125:G125"/>
    <mergeCell ref="D162:G162"/>
    <mergeCell ref="B165:C165"/>
    <mergeCell ref="D165:G166"/>
    <mergeCell ref="D171:E171"/>
    <mergeCell ref="D197:G197"/>
    <mergeCell ref="D250:G250"/>
    <mergeCell ref="D277:E277"/>
    <mergeCell ref="D304:G304"/>
  </mergeCells>
  <phoneticPr fontId="80" type="noConversion"/>
  <conditionalFormatting sqref="E395">
    <cfRule type="containsText" dxfId="9" priority="5" stopIfTrue="1" operator="containsText" text="Failed">
      <formula>NOT(ISERROR(SEARCH("Failed",E395)))</formula>
    </cfRule>
  </conditionalFormatting>
  <conditionalFormatting sqref="E397">
    <cfRule type="containsText" dxfId="8" priority="4" stopIfTrue="1" operator="containsText" text="Silver">
      <formula>NOT(ISERROR(SEARCH("Silver",E397)))</formula>
    </cfRule>
  </conditionalFormatting>
  <conditionalFormatting sqref="E396">
    <cfRule type="containsText" dxfId="7" priority="3" stopIfTrue="1" operator="containsText" text="Bronze">
      <formula>NOT(ISERROR(SEARCH("Bronze",E396)))</formula>
    </cfRule>
  </conditionalFormatting>
  <conditionalFormatting sqref="E398">
    <cfRule type="containsText" dxfId="6" priority="2" stopIfTrue="1" operator="containsText" text="Gold">
      <formula>NOT(ISERROR(SEARCH("Gold",E398)))</formula>
    </cfRule>
  </conditionalFormatting>
  <conditionalFormatting sqref="E399">
    <cfRule type="containsText" dxfId="5" priority="1" stopIfTrue="1" operator="containsText" text="Platinum">
      <formula>NOT(ISERROR(SEARCH("Platinum",E399)))</formula>
    </cfRule>
  </conditionalFormatting>
  <printOptions horizontalCentered="1"/>
  <pageMargins left="0.45" right="0.45" top="0.5" bottom="0.75" header="0.05" footer="0.05"/>
  <pageSetup scale="76" fitToHeight="9" orientation="portrait" r:id="rId1"/>
  <headerFooter>
    <oddHeader xml:space="preserve">&amp;CEXISTING HOME&amp;R&amp;16&amp;K006600Florida Green Home Standard Checklist </oddHeader>
    <oddFooter>&amp;C&amp;G&amp;R&amp;P of &amp;N</oddFooter>
  </headerFooter>
  <rowBreaks count="8" manualBreakCount="8">
    <brk id="15" max="16383" man="1"/>
    <brk id="61" max="16383" man="1"/>
    <brk id="122" max="16383" man="1"/>
    <brk id="159" max="16383" man="1"/>
    <brk id="194" max="16383" man="1"/>
    <brk id="249" max="16383" man="1"/>
    <brk id="303" max="16383" man="1"/>
    <brk id="346" max="16383" man="1"/>
  </rowBreaks>
  <legacyDrawing r:id="rId2"/>
  <legacyDrawingHF r:id="rId3"/>
  <extLst>
    <ext xmlns:mx="http://schemas.microsoft.com/office/mac/excel/2008/main" uri="{64002731-A6B0-56B0-2670-7721B7C09600}">
      <mx:PLV Mode="1" OnePage="0" WScale="10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396"/>
  <sheetViews>
    <sheetView topLeftCell="A370" zoomScale="125" zoomScaleNormal="125" zoomScaleSheetLayoutView="100" zoomScalePageLayoutView="125" workbookViewId="0">
      <selection activeCell="E391" sqref="E391"/>
    </sheetView>
  </sheetViews>
  <sheetFormatPr baseColWidth="10" defaultColWidth="8.6640625" defaultRowHeight="15" x14ac:dyDescent="0.2"/>
  <cols>
    <col min="1" max="4" width="7.6640625" style="784" customWidth="1"/>
    <col min="5" max="5" width="28.6640625" style="784" customWidth="1"/>
    <col min="6" max="6" width="7.6640625" style="784" customWidth="1"/>
    <col min="7" max="7" width="49.33203125" style="784" customWidth="1"/>
    <col min="8" max="16384" width="8.6640625" style="784"/>
  </cols>
  <sheetData>
    <row r="1" spans="1:7" ht="21" customHeight="1" x14ac:dyDescent="0.25">
      <c r="A1" s="780" t="s">
        <v>774</v>
      </c>
      <c r="B1" s="781"/>
      <c r="C1" s="781"/>
      <c r="D1" s="781"/>
      <c r="E1" s="781"/>
      <c r="F1" s="782"/>
      <c r="G1" s="873" t="str">
        <f>'1. Instructions'!B5</f>
        <v>Revised 4-5-2022</v>
      </c>
    </row>
    <row r="2" spans="1:7" ht="16" x14ac:dyDescent="0.2">
      <c r="A2" s="777" t="s">
        <v>5</v>
      </c>
      <c r="B2" s="775"/>
      <c r="C2" s="775"/>
      <c r="D2" s="775"/>
      <c r="G2" s="785"/>
    </row>
    <row r="3" spans="1:7" ht="17" x14ac:dyDescent="0.2">
      <c r="A3" s="786" t="s">
        <v>579</v>
      </c>
      <c r="B3" s="776" t="str">
        <f>'6. Pre-requisites'!B6</f>
        <v>N/A</v>
      </c>
      <c r="C3" s="760" t="s">
        <v>8</v>
      </c>
      <c r="D3" s="760"/>
      <c r="G3" s="785"/>
    </row>
    <row r="4" spans="1:7" ht="17" x14ac:dyDescent="0.2">
      <c r="A4" s="786" t="s">
        <v>580</v>
      </c>
      <c r="B4" s="776" t="str">
        <f>'6. Pre-requisites'!B7</f>
        <v>N/A</v>
      </c>
      <c r="C4" s="760" t="s">
        <v>10</v>
      </c>
      <c r="D4" s="760"/>
      <c r="G4" s="785"/>
    </row>
    <row r="5" spans="1:7" ht="17" x14ac:dyDescent="0.2">
      <c r="A5" s="786" t="s">
        <v>581</v>
      </c>
      <c r="B5" s="776" t="str">
        <f>'6. Pre-requisites'!B8</f>
        <v>N/A</v>
      </c>
      <c r="C5" s="760" t="s">
        <v>12</v>
      </c>
      <c r="D5" s="760"/>
      <c r="G5" s="785"/>
    </row>
    <row r="6" spans="1:7" ht="17" x14ac:dyDescent="0.2">
      <c r="A6" s="786" t="s">
        <v>582</v>
      </c>
      <c r="B6" s="776" t="str">
        <f>'6. Pre-requisites'!B9</f>
        <v>N/A</v>
      </c>
      <c r="C6" s="760" t="s">
        <v>499</v>
      </c>
      <c r="D6" s="760"/>
      <c r="G6" s="785"/>
    </row>
    <row r="7" spans="1:7" x14ac:dyDescent="0.2">
      <c r="A7" s="786" t="s">
        <v>823</v>
      </c>
      <c r="B7" s="908" t="str">
        <f>'6. Pre-requisites'!B10</f>
        <v>N/A</v>
      </c>
      <c r="C7" s="760" t="s">
        <v>824</v>
      </c>
      <c r="D7" s="760"/>
      <c r="G7" s="785"/>
    </row>
    <row r="8" spans="1:7" ht="16" x14ac:dyDescent="0.2">
      <c r="A8" s="777" t="s">
        <v>6</v>
      </c>
      <c r="B8" s="775"/>
      <c r="C8" s="775"/>
      <c r="D8" s="775"/>
      <c r="G8" s="785"/>
    </row>
    <row r="9" spans="1:7" x14ac:dyDescent="0.2">
      <c r="A9" s="786" t="s">
        <v>584</v>
      </c>
      <c r="B9" s="908" t="str">
        <f>'6. Pre-requisites'!B13</f>
        <v>N/A</v>
      </c>
      <c r="C9" s="760" t="s">
        <v>9</v>
      </c>
      <c r="D9" s="760"/>
      <c r="G9" s="785"/>
    </row>
    <row r="10" spans="1:7" x14ac:dyDescent="0.2">
      <c r="A10" s="786" t="s">
        <v>583</v>
      </c>
      <c r="B10" s="773" t="str">
        <f>'6. Pre-requisites'!B14</f>
        <v>N/A</v>
      </c>
      <c r="C10" s="787" t="s">
        <v>11</v>
      </c>
      <c r="D10" s="787"/>
      <c r="G10" s="785"/>
    </row>
    <row r="11" spans="1:7" x14ac:dyDescent="0.2">
      <c r="A11" s="786" t="s">
        <v>585</v>
      </c>
      <c r="B11" s="773" t="str">
        <f>'6. Pre-requisites'!B15</f>
        <v>N/A</v>
      </c>
      <c r="C11" s="787" t="s">
        <v>13</v>
      </c>
      <c r="D11" s="787"/>
      <c r="G11" s="785"/>
    </row>
    <row r="12" spans="1:7" x14ac:dyDescent="0.2">
      <c r="A12" s="786" t="s">
        <v>586</v>
      </c>
      <c r="B12" s="773" t="str">
        <f>'6. Pre-requisites'!B16</f>
        <v>N/A</v>
      </c>
      <c r="C12" s="760" t="s">
        <v>15</v>
      </c>
      <c r="D12" s="760"/>
      <c r="G12" s="785"/>
    </row>
    <row r="13" spans="1:7" ht="16" x14ac:dyDescent="0.2">
      <c r="A13" s="777" t="s">
        <v>500</v>
      </c>
      <c r="B13" s="775"/>
      <c r="C13" s="775"/>
      <c r="D13" s="775"/>
      <c r="G13" s="785"/>
    </row>
    <row r="14" spans="1:7" x14ac:dyDescent="0.2">
      <c r="A14" s="786" t="s">
        <v>587</v>
      </c>
      <c r="B14" s="908" t="str">
        <f>'6. Pre-requisites'!B19</f>
        <v>N/A</v>
      </c>
      <c r="C14" s="760" t="s">
        <v>555</v>
      </c>
      <c r="D14" s="760"/>
      <c r="G14" s="785"/>
    </row>
    <row r="15" spans="1:7" ht="16" thickBot="1" x14ac:dyDescent="0.25">
      <c r="A15" s="788"/>
      <c r="B15" s="789"/>
      <c r="C15" s="790" t="str">
        <f>'6. Pre-requisites'!C20</f>
        <v>New</v>
      </c>
      <c r="D15" s="791" t="s">
        <v>20</v>
      </c>
      <c r="E15" s="792"/>
      <c r="F15" s="792"/>
      <c r="G15" s="793"/>
    </row>
    <row r="16" spans="1:7" ht="21" customHeight="1" x14ac:dyDescent="0.25">
      <c r="A16" s="780" t="s">
        <v>767</v>
      </c>
      <c r="B16" s="781"/>
      <c r="C16" s="781"/>
      <c r="D16" s="781"/>
      <c r="E16" s="781"/>
      <c r="F16" s="781"/>
      <c r="G16" s="883" t="str">
        <f>'1. Instructions'!B5</f>
        <v>Revised 4-5-2022</v>
      </c>
    </row>
    <row r="17" spans="1:7" ht="16" x14ac:dyDescent="0.2">
      <c r="A17" s="794" t="s">
        <v>148</v>
      </c>
      <c r="B17" s="904"/>
      <c r="C17" s="904"/>
      <c r="D17" s="904"/>
      <c r="E17" s="904"/>
      <c r="F17" s="904"/>
      <c r="G17" s="785"/>
    </row>
    <row r="18" spans="1:7" ht="16" x14ac:dyDescent="0.2">
      <c r="A18" s="777" t="s">
        <v>27</v>
      </c>
      <c r="B18" s="775"/>
      <c r="C18" s="775"/>
      <c r="D18" s="775"/>
      <c r="E18" s="775"/>
      <c r="F18" s="795"/>
      <c r="G18" s="785"/>
    </row>
    <row r="19" spans="1:7" x14ac:dyDescent="0.2">
      <c r="A19" s="796" t="s">
        <v>588</v>
      </c>
      <c r="B19" s="908">
        <f>'7. Energy'!B5</f>
        <v>30</v>
      </c>
      <c r="C19" s="797" t="s">
        <v>440</v>
      </c>
      <c r="D19" s="798" t="s">
        <v>924</v>
      </c>
      <c r="E19" s="798"/>
      <c r="F19" s="762"/>
      <c r="G19" s="785"/>
    </row>
    <row r="20" spans="1:7" x14ac:dyDescent="0.2">
      <c r="A20" s="799"/>
      <c r="B20" s="765"/>
      <c r="C20" s="765"/>
      <c r="D20" s="770" t="str">
        <f>'7. Energy'!D6</f>
        <v>Yes</v>
      </c>
      <c r="E20" s="762" t="s">
        <v>32</v>
      </c>
      <c r="F20" s="800"/>
      <c r="G20" s="785"/>
    </row>
    <row r="21" spans="1:7" x14ac:dyDescent="0.2">
      <c r="A21" s="799"/>
      <c r="B21" s="765"/>
      <c r="C21" s="765"/>
      <c r="D21" s="908">
        <f>'7. Energy'!D7</f>
        <v>65</v>
      </c>
      <c r="E21" s="765" t="s">
        <v>33</v>
      </c>
      <c r="F21" s="801"/>
      <c r="G21" s="785"/>
    </row>
    <row r="22" spans="1:7" ht="16" x14ac:dyDescent="0.2">
      <c r="A22" s="777" t="s">
        <v>764</v>
      </c>
      <c r="B22" s="775"/>
      <c r="C22" s="775"/>
      <c r="D22" s="775"/>
      <c r="E22" s="775"/>
      <c r="F22" s="795"/>
      <c r="G22" s="785"/>
    </row>
    <row r="23" spans="1:7" ht="14.75" customHeight="1" x14ac:dyDescent="0.2">
      <c r="A23" s="796" t="s">
        <v>589</v>
      </c>
      <c r="B23" s="773">
        <f>'7. Energy'!B12</f>
        <v>1</v>
      </c>
      <c r="C23" s="802">
        <v>1</v>
      </c>
      <c r="D23" s="752" t="s">
        <v>912</v>
      </c>
      <c r="E23" s="752"/>
      <c r="F23" s="762"/>
      <c r="G23" s="785"/>
    </row>
    <row r="24" spans="1:7" ht="15" customHeight="1" x14ac:dyDescent="0.2">
      <c r="A24" s="796" t="s">
        <v>590</v>
      </c>
      <c r="B24" s="908">
        <f>'7. Energy'!B13</f>
        <v>1</v>
      </c>
      <c r="C24" s="804">
        <v>1</v>
      </c>
      <c r="D24" s="870" t="s">
        <v>36</v>
      </c>
      <c r="E24" s="766"/>
      <c r="F24" s="800"/>
      <c r="G24" s="785"/>
    </row>
    <row r="25" spans="1:7" x14ac:dyDescent="0.2">
      <c r="A25" s="796" t="s">
        <v>591</v>
      </c>
      <c r="B25" s="908">
        <f>'7. Energy'!B14</f>
        <v>0</v>
      </c>
      <c r="C25" s="805">
        <v>1</v>
      </c>
      <c r="D25" s="831" t="s">
        <v>501</v>
      </c>
      <c r="E25" s="760"/>
      <c r="F25" s="800"/>
      <c r="G25" s="785"/>
    </row>
    <row r="26" spans="1:7" x14ac:dyDescent="0.2">
      <c r="A26" s="796" t="s">
        <v>592</v>
      </c>
      <c r="B26" s="908">
        <f>'7. Energy'!B15</f>
        <v>0</v>
      </c>
      <c r="C26" s="804">
        <v>1</v>
      </c>
      <c r="D26" s="766" t="s">
        <v>37</v>
      </c>
      <c r="E26" s="766"/>
      <c r="F26" s="800"/>
      <c r="G26" s="785"/>
    </row>
    <row r="27" spans="1:7" x14ac:dyDescent="0.2">
      <c r="A27" s="796" t="s">
        <v>593</v>
      </c>
      <c r="B27" s="908">
        <f>'7. Energy'!B16</f>
        <v>1</v>
      </c>
      <c r="C27" s="804">
        <v>1</v>
      </c>
      <c r="D27" s="766" t="s">
        <v>443</v>
      </c>
      <c r="E27" s="766"/>
      <c r="F27" s="800"/>
      <c r="G27" s="785"/>
    </row>
    <row r="28" spans="1:7" x14ac:dyDescent="0.2">
      <c r="A28" s="796" t="s">
        <v>594</v>
      </c>
      <c r="B28" s="908">
        <f>'7. Energy'!B17</f>
        <v>0</v>
      </c>
      <c r="C28" s="804">
        <v>1</v>
      </c>
      <c r="D28" s="766" t="s">
        <v>38</v>
      </c>
      <c r="E28" s="766"/>
      <c r="F28" s="800"/>
      <c r="G28" s="785"/>
    </row>
    <row r="29" spans="1:7" x14ac:dyDescent="0.2">
      <c r="A29" s="796" t="s">
        <v>595</v>
      </c>
      <c r="B29" s="908">
        <f>'7. Energy'!B18</f>
        <v>0</v>
      </c>
      <c r="C29" s="804">
        <v>1</v>
      </c>
      <c r="D29" s="766" t="s">
        <v>39</v>
      </c>
      <c r="E29" s="766"/>
      <c r="F29" s="800"/>
      <c r="G29" s="785"/>
    </row>
    <row r="30" spans="1:7" x14ac:dyDescent="0.2">
      <c r="A30" s="796" t="s">
        <v>596</v>
      </c>
      <c r="B30" s="908">
        <f>'7. Energy'!B19</f>
        <v>0</v>
      </c>
      <c r="C30" s="804">
        <v>1</v>
      </c>
      <c r="D30" s="766" t="s">
        <v>40</v>
      </c>
      <c r="E30" s="766"/>
      <c r="F30" s="800"/>
      <c r="G30" s="785"/>
    </row>
    <row r="31" spans="1:7" x14ac:dyDescent="0.2">
      <c r="A31" s="796" t="s">
        <v>597</v>
      </c>
      <c r="B31" s="770">
        <f>'7. Energy'!B20</f>
        <v>0</v>
      </c>
      <c r="C31" s="797" t="s">
        <v>41</v>
      </c>
      <c r="D31" s="766" t="s">
        <v>42</v>
      </c>
      <c r="E31" s="766"/>
      <c r="F31" s="800"/>
      <c r="G31" s="785"/>
    </row>
    <row r="32" spans="1:7" x14ac:dyDescent="0.2">
      <c r="A32" s="799"/>
      <c r="B32" s="765"/>
      <c r="C32" s="765"/>
      <c r="D32" s="806">
        <f>'7. Energy'!D21</f>
        <v>0</v>
      </c>
      <c r="E32" s="807" t="s">
        <v>43</v>
      </c>
      <c r="F32" s="800"/>
      <c r="G32" s="785"/>
    </row>
    <row r="33" spans="1:7" x14ac:dyDescent="0.2">
      <c r="A33" s="796" t="s">
        <v>598</v>
      </c>
      <c r="B33" s="908">
        <f>'7. Energy'!B22</f>
        <v>0</v>
      </c>
      <c r="C33" s="804">
        <v>1</v>
      </c>
      <c r="D33" s="766" t="s">
        <v>44</v>
      </c>
      <c r="E33" s="766"/>
      <c r="F33" s="800"/>
      <c r="G33" s="785"/>
    </row>
    <row r="34" spans="1:7" x14ac:dyDescent="0.2">
      <c r="A34" s="796" t="s">
        <v>599</v>
      </c>
      <c r="B34" s="908">
        <f>'7. Energy'!B23</f>
        <v>0</v>
      </c>
      <c r="C34" s="804">
        <v>1</v>
      </c>
      <c r="D34" s="766" t="s">
        <v>45</v>
      </c>
      <c r="E34" s="766"/>
      <c r="F34" s="800"/>
      <c r="G34" s="785"/>
    </row>
    <row r="35" spans="1:7" x14ac:dyDescent="0.2">
      <c r="A35" s="796" t="s">
        <v>600</v>
      </c>
      <c r="B35" s="908">
        <f>'7. Energy'!B24</f>
        <v>0</v>
      </c>
      <c r="C35" s="804">
        <v>1</v>
      </c>
      <c r="D35" s="766" t="s">
        <v>556</v>
      </c>
      <c r="E35" s="766"/>
      <c r="F35" s="800"/>
      <c r="G35" s="785"/>
    </row>
    <row r="36" spans="1:7" x14ac:dyDescent="0.2">
      <c r="A36" s="824"/>
      <c r="B36" s="779"/>
      <c r="C36" s="804"/>
      <c r="D36" s="750">
        <f>'7. Energy'!D25</f>
        <v>0</v>
      </c>
      <c r="E36" s="767" t="s">
        <v>946</v>
      </c>
      <c r="F36" s="800"/>
      <c r="G36" s="785"/>
    </row>
    <row r="37" spans="1:7" x14ac:dyDescent="0.2">
      <c r="A37" s="796" t="s">
        <v>601</v>
      </c>
      <c r="B37" s="908">
        <f>'7. Energy'!B26</f>
        <v>2</v>
      </c>
      <c r="C37" s="797" t="s">
        <v>47</v>
      </c>
      <c r="D37" s="765" t="s">
        <v>48</v>
      </c>
      <c r="E37" s="765"/>
      <c r="F37" s="800"/>
      <c r="G37" s="785"/>
    </row>
    <row r="38" spans="1:7" x14ac:dyDescent="0.2">
      <c r="A38" s="799"/>
      <c r="B38" s="765"/>
      <c r="C38" s="765"/>
      <c r="D38" s="825" t="str">
        <f>'7. Energy'!D27</f>
        <v>Yes</v>
      </c>
      <c r="E38" s="765" t="s">
        <v>49</v>
      </c>
      <c r="F38" s="800"/>
      <c r="G38" s="785"/>
    </row>
    <row r="39" spans="1:7" x14ac:dyDescent="0.2">
      <c r="A39" s="799"/>
      <c r="B39" s="765"/>
      <c r="C39" s="765"/>
      <c r="D39" s="750">
        <f>'7. Energy'!D28</f>
        <v>80</v>
      </c>
      <c r="E39" s="767" t="s">
        <v>917</v>
      </c>
      <c r="F39" s="800"/>
      <c r="G39" s="785"/>
    </row>
    <row r="40" spans="1:7" x14ac:dyDescent="0.2">
      <c r="A40" s="799"/>
      <c r="B40" s="765"/>
      <c r="C40" s="765"/>
      <c r="D40" s="908" t="str">
        <f>'7. Energy'!D29</f>
        <v>Yes</v>
      </c>
      <c r="E40" s="765" t="s">
        <v>67</v>
      </c>
      <c r="F40" s="800"/>
      <c r="G40" s="785"/>
    </row>
    <row r="41" spans="1:7" x14ac:dyDescent="0.2">
      <c r="A41" s="799"/>
      <c r="B41" s="765"/>
      <c r="C41" s="765"/>
      <c r="D41" s="750">
        <f>'7. Energy'!D30</f>
        <v>80</v>
      </c>
      <c r="E41" s="767" t="s">
        <v>917</v>
      </c>
      <c r="F41" s="800"/>
      <c r="G41" s="785"/>
    </row>
    <row r="42" spans="1:7" x14ac:dyDescent="0.2">
      <c r="A42" s="796" t="s">
        <v>602</v>
      </c>
      <c r="B42" s="908">
        <f>'7. Energy'!B31</f>
        <v>1</v>
      </c>
      <c r="C42" s="804">
        <v>1</v>
      </c>
      <c r="D42" s="765" t="s">
        <v>50</v>
      </c>
      <c r="E42" s="765"/>
      <c r="F42" s="800"/>
      <c r="G42" s="785"/>
    </row>
    <row r="43" spans="1:7" x14ac:dyDescent="0.2">
      <c r="A43" s="796" t="s">
        <v>603</v>
      </c>
      <c r="B43" s="908">
        <f>'7. Energy'!B32</f>
        <v>0</v>
      </c>
      <c r="C43" s="804">
        <v>1</v>
      </c>
      <c r="D43" s="765" t="s">
        <v>52</v>
      </c>
      <c r="E43" s="765"/>
      <c r="F43" s="800"/>
      <c r="G43" s="785"/>
    </row>
    <row r="44" spans="1:7" x14ac:dyDescent="0.2">
      <c r="A44" s="796" t="s">
        <v>604</v>
      </c>
      <c r="B44" s="908">
        <f>'7. Energy'!B33</f>
        <v>0</v>
      </c>
      <c r="C44" s="804">
        <v>2</v>
      </c>
      <c r="D44" s="798" t="s">
        <v>462</v>
      </c>
      <c r="E44" s="798"/>
      <c r="F44" s="800"/>
      <c r="G44" s="785"/>
    </row>
    <row r="45" spans="1:7" x14ac:dyDescent="0.2">
      <c r="A45" s="796" t="s">
        <v>605</v>
      </c>
      <c r="B45" s="908" t="e">
        <f>'7. Energy'!#REF!</f>
        <v>#REF!</v>
      </c>
      <c r="C45" s="804">
        <v>1</v>
      </c>
      <c r="D45" s="765" t="s">
        <v>53</v>
      </c>
      <c r="E45" s="765"/>
      <c r="F45" s="800"/>
      <c r="G45" s="785"/>
    </row>
    <row r="46" spans="1:7" x14ac:dyDescent="0.2">
      <c r="A46" s="796" t="s">
        <v>606</v>
      </c>
      <c r="B46" s="908">
        <f>'7. Energy'!B34</f>
        <v>0</v>
      </c>
      <c r="C46" s="804">
        <v>1</v>
      </c>
      <c r="D46" s="798" t="s">
        <v>54</v>
      </c>
      <c r="E46" s="798"/>
      <c r="F46" s="800"/>
      <c r="G46" s="785"/>
    </row>
    <row r="47" spans="1:7" x14ac:dyDescent="0.2">
      <c r="A47" s="796" t="s">
        <v>607</v>
      </c>
      <c r="B47" s="908">
        <f>'7. Energy'!B35</f>
        <v>0</v>
      </c>
      <c r="C47" s="804">
        <v>1</v>
      </c>
      <c r="D47" s="760" t="s">
        <v>572</v>
      </c>
      <c r="E47" s="760"/>
      <c r="F47" s="800"/>
      <c r="G47" s="785"/>
    </row>
    <row r="48" spans="1:7" x14ac:dyDescent="0.2">
      <c r="A48" s="796" t="s">
        <v>608</v>
      </c>
      <c r="B48" s="908">
        <f>'7. Energy'!B36</f>
        <v>1</v>
      </c>
      <c r="C48" s="804">
        <v>1</v>
      </c>
      <c r="D48" s="760" t="s">
        <v>573</v>
      </c>
      <c r="E48" s="760"/>
      <c r="F48" s="800"/>
      <c r="G48" s="785"/>
    </row>
    <row r="49" spans="1:7" x14ac:dyDescent="0.2">
      <c r="A49" s="796" t="s">
        <v>609</v>
      </c>
      <c r="B49" s="908">
        <f>'7. Energy'!B37</f>
        <v>0</v>
      </c>
      <c r="C49" s="804">
        <v>1</v>
      </c>
      <c r="D49" s="760" t="s">
        <v>763</v>
      </c>
      <c r="E49" s="760"/>
      <c r="F49" s="800"/>
      <c r="G49" s="785"/>
    </row>
    <row r="50" spans="1:7" x14ac:dyDescent="0.2">
      <c r="A50" s="796" t="s">
        <v>610</v>
      </c>
      <c r="B50" s="908">
        <f>'7. Energy'!B38</f>
        <v>0</v>
      </c>
      <c r="C50" s="804">
        <v>1</v>
      </c>
      <c r="D50" s="765" t="s">
        <v>57</v>
      </c>
      <c r="E50" s="765"/>
      <c r="F50" s="800"/>
      <c r="G50" s="785"/>
    </row>
    <row r="51" spans="1:7" x14ac:dyDescent="0.2">
      <c r="A51" s="796" t="s">
        <v>611</v>
      </c>
      <c r="B51" s="908">
        <f>'7. Energy'!B39</f>
        <v>1</v>
      </c>
      <c r="C51" s="804">
        <v>1</v>
      </c>
      <c r="D51" s="765" t="s">
        <v>58</v>
      </c>
      <c r="E51" s="765"/>
      <c r="F51" s="800"/>
      <c r="G51" s="785"/>
    </row>
    <row r="52" spans="1:7" x14ac:dyDescent="0.2">
      <c r="A52" s="799"/>
      <c r="B52" s="765"/>
      <c r="C52" s="765"/>
      <c r="D52" s="908">
        <f>'7. Energy'!D40</f>
        <v>1804</v>
      </c>
      <c r="E52" s="808" t="s">
        <v>430</v>
      </c>
      <c r="F52" s="800"/>
      <c r="G52" s="785"/>
    </row>
    <row r="53" spans="1:7" x14ac:dyDescent="0.2">
      <c r="A53" s="799"/>
      <c r="B53" s="765"/>
      <c r="C53" s="765"/>
      <c r="D53" s="908">
        <f>'7. Energy'!D41</f>
        <v>1580</v>
      </c>
      <c r="E53" s="808" t="s">
        <v>431</v>
      </c>
      <c r="F53" s="800"/>
      <c r="G53" s="785"/>
    </row>
    <row r="54" spans="1:7" x14ac:dyDescent="0.2">
      <c r="A54" s="799"/>
      <c r="B54" s="765"/>
      <c r="C54" s="765"/>
      <c r="D54" s="908">
        <f>'7. Energy'!D42</f>
        <v>2</v>
      </c>
      <c r="E54" s="808" t="s">
        <v>432</v>
      </c>
      <c r="F54" s="800"/>
      <c r="G54" s="785"/>
    </row>
    <row r="55" spans="1:7" x14ac:dyDescent="0.2">
      <c r="A55" s="822" t="s">
        <v>843</v>
      </c>
      <c r="B55" s="908">
        <f>'7. Energy'!B43</f>
        <v>0</v>
      </c>
      <c r="C55" s="804">
        <v>1</v>
      </c>
      <c r="D55" s="765" t="s">
        <v>444</v>
      </c>
      <c r="E55" s="765"/>
      <c r="F55" s="800"/>
      <c r="G55" s="785"/>
    </row>
    <row r="56" spans="1:7" x14ac:dyDescent="0.2">
      <c r="A56" s="796" t="s">
        <v>612</v>
      </c>
      <c r="B56" s="908">
        <f>'7. Energy'!B44</f>
        <v>0</v>
      </c>
      <c r="C56" s="804">
        <v>2</v>
      </c>
      <c r="D56" s="765" t="s">
        <v>60</v>
      </c>
      <c r="E56" s="765"/>
      <c r="F56" s="800"/>
      <c r="G56" s="785"/>
    </row>
    <row r="57" spans="1:7" x14ac:dyDescent="0.2">
      <c r="A57" s="796" t="s">
        <v>613</v>
      </c>
      <c r="B57" s="908">
        <f>'7. Energy'!B45</f>
        <v>3</v>
      </c>
      <c r="C57" s="804">
        <v>3</v>
      </c>
      <c r="D57" s="765" t="s">
        <v>465</v>
      </c>
      <c r="E57" s="765"/>
      <c r="F57" s="800"/>
      <c r="G57" s="785"/>
    </row>
    <row r="58" spans="1:7" x14ac:dyDescent="0.2">
      <c r="A58" s="796" t="s">
        <v>614</v>
      </c>
      <c r="B58" s="908">
        <f>'7. Energy'!B46</f>
        <v>2</v>
      </c>
      <c r="C58" s="804">
        <v>2</v>
      </c>
      <c r="D58" s="765" t="s">
        <v>61</v>
      </c>
      <c r="E58" s="765"/>
      <c r="F58" s="800"/>
      <c r="G58" s="785"/>
    </row>
    <row r="59" spans="1:7" x14ac:dyDescent="0.2">
      <c r="A59" s="796" t="s">
        <v>893</v>
      </c>
      <c r="B59" s="908">
        <f>'7. Energy'!B47</f>
        <v>0</v>
      </c>
      <c r="C59" s="804">
        <v>1</v>
      </c>
      <c r="D59" s="870" t="s">
        <v>894</v>
      </c>
      <c r="E59" s="766"/>
      <c r="F59" s="800"/>
      <c r="G59" s="785"/>
    </row>
    <row r="60" spans="1:7" x14ac:dyDescent="0.2">
      <c r="A60" s="516" t="s">
        <v>959</v>
      </c>
      <c r="B60" s="899" t="s">
        <v>75</v>
      </c>
      <c r="C60" s="341">
        <v>1</v>
      </c>
      <c r="D60" s="1545" t="s">
        <v>960</v>
      </c>
      <c r="E60" s="1550"/>
      <c r="F60" s="800"/>
      <c r="G60" s="785"/>
    </row>
    <row r="61" spans="1:7" ht="16" x14ac:dyDescent="0.2">
      <c r="A61" s="809"/>
      <c r="B61" s="907">
        <f>'7. Energy'!B49</f>
        <v>43</v>
      </c>
      <c r="C61" s="810">
        <v>112</v>
      </c>
      <c r="D61" s="811" t="s">
        <v>62</v>
      </c>
      <c r="E61" s="811"/>
      <c r="F61" s="800"/>
      <c r="G61" s="785"/>
    </row>
    <row r="62" spans="1:7" ht="15" customHeight="1" x14ac:dyDescent="0.2">
      <c r="A62" s="809"/>
      <c r="B62" s="765"/>
      <c r="C62" s="765"/>
      <c r="D62" s="765"/>
      <c r="E62" s="765"/>
      <c r="F62" s="800"/>
      <c r="G62" s="785"/>
    </row>
    <row r="63" spans="1:7" ht="19" x14ac:dyDescent="0.25">
      <c r="A63" s="809"/>
      <c r="B63" s="772">
        <f>'7. Energy'!B51</f>
        <v>43</v>
      </c>
      <c r="C63" s="812" t="s">
        <v>63</v>
      </c>
      <c r="D63" s="812"/>
      <c r="E63" s="812"/>
      <c r="F63" s="800"/>
      <c r="G63" s="785"/>
    </row>
    <row r="64" spans="1:7" x14ac:dyDescent="0.2">
      <c r="A64" s="813" t="s">
        <v>64</v>
      </c>
      <c r="B64" s="910"/>
      <c r="C64" s="910"/>
      <c r="D64" s="1476">
        <f>'7. Energy'!E53</f>
        <v>0</v>
      </c>
      <c r="E64" s="1476"/>
      <c r="F64" s="1476"/>
      <c r="G64" s="1477"/>
    </row>
    <row r="65" spans="1:7" ht="16" thickBot="1" x14ac:dyDescent="0.25">
      <c r="A65" s="815" t="s">
        <v>65</v>
      </c>
      <c r="B65" s="816"/>
      <c r="C65" s="816"/>
      <c r="D65" s="1480">
        <f>'7. Energy'!E54</f>
        <v>0</v>
      </c>
      <c r="E65" s="1480"/>
      <c r="F65" s="1480"/>
      <c r="G65" s="1481"/>
    </row>
    <row r="66" spans="1:7" ht="21" customHeight="1" x14ac:dyDescent="0.25">
      <c r="A66" s="780" t="s">
        <v>776</v>
      </c>
      <c r="B66" s="781"/>
      <c r="C66" s="781"/>
      <c r="D66" s="781"/>
      <c r="E66" s="781"/>
      <c r="F66" s="781"/>
      <c r="G66" s="883" t="str">
        <f>'1. Instructions'!B5</f>
        <v>Revised 4-5-2022</v>
      </c>
    </row>
    <row r="67" spans="1:7" ht="16" x14ac:dyDescent="0.2">
      <c r="A67" s="817" t="s">
        <v>149</v>
      </c>
      <c r="B67" s="818"/>
      <c r="C67" s="818"/>
      <c r="D67" s="818"/>
      <c r="E67" s="818"/>
      <c r="F67" s="818"/>
      <c r="G67" s="785"/>
    </row>
    <row r="68" spans="1:7" ht="16" x14ac:dyDescent="0.2">
      <c r="A68" s="819" t="str">
        <f>'8. Water'!A3</f>
        <v>N/A</v>
      </c>
      <c r="B68" s="820"/>
      <c r="C68" s="821" t="s">
        <v>20</v>
      </c>
      <c r="D68" s="821"/>
      <c r="E68" s="821"/>
      <c r="F68" s="821"/>
      <c r="G68" s="785"/>
    </row>
    <row r="69" spans="1:7" ht="16" x14ac:dyDescent="0.2">
      <c r="A69" s="777" t="s">
        <v>777</v>
      </c>
      <c r="B69" s="775"/>
      <c r="C69" s="775"/>
      <c r="D69" s="775"/>
      <c r="E69" s="775"/>
      <c r="F69" s="795"/>
      <c r="G69" s="785"/>
    </row>
    <row r="70" spans="1:7" x14ac:dyDescent="0.2">
      <c r="A70" s="822" t="s">
        <v>615</v>
      </c>
      <c r="B70" s="908">
        <f>'8. Water'!B6</f>
        <v>3</v>
      </c>
      <c r="C70" s="823" t="s">
        <v>72</v>
      </c>
      <c r="D70" s="760" t="s">
        <v>73</v>
      </c>
      <c r="E70" s="760"/>
      <c r="F70" s="762"/>
      <c r="G70" s="785"/>
    </row>
    <row r="71" spans="1:7" x14ac:dyDescent="0.2">
      <c r="A71" s="824"/>
      <c r="B71" s="763"/>
      <c r="C71" s="763"/>
      <c r="D71" s="908" t="e">
        <f>'8. Water'!#REF!</f>
        <v>#REF!</v>
      </c>
      <c r="E71" s="800" t="s">
        <v>74</v>
      </c>
      <c r="F71" s="762"/>
      <c r="G71" s="785"/>
    </row>
    <row r="72" spans="1:7" x14ac:dyDescent="0.2">
      <c r="A72" s="822" t="s">
        <v>616</v>
      </c>
      <c r="B72" s="908">
        <f>'8. Water'!B7</f>
        <v>1</v>
      </c>
      <c r="C72" s="805">
        <v>1</v>
      </c>
      <c r="D72" s="760" t="s">
        <v>931</v>
      </c>
      <c r="E72" s="760"/>
      <c r="F72" s="762"/>
      <c r="G72" s="785"/>
    </row>
    <row r="73" spans="1:7" x14ac:dyDescent="0.2">
      <c r="A73" s="822" t="s">
        <v>617</v>
      </c>
      <c r="B73" s="908">
        <f>'8. Water'!B8</f>
        <v>1</v>
      </c>
      <c r="C73" s="805">
        <v>1</v>
      </c>
      <c r="D73" s="760" t="s">
        <v>76</v>
      </c>
      <c r="E73" s="760"/>
      <c r="F73" s="762"/>
      <c r="G73" s="785"/>
    </row>
    <row r="74" spans="1:7" x14ac:dyDescent="0.2">
      <c r="A74" s="822" t="s">
        <v>618</v>
      </c>
      <c r="B74" s="908">
        <f>'8. Water'!B9</f>
        <v>1</v>
      </c>
      <c r="C74" s="823" t="s">
        <v>47</v>
      </c>
      <c r="D74" s="760" t="s">
        <v>771</v>
      </c>
      <c r="E74" s="760"/>
      <c r="F74" s="762"/>
      <c r="G74" s="785"/>
    </row>
    <row r="75" spans="1:7" x14ac:dyDescent="0.2">
      <c r="A75" s="822" t="s">
        <v>619</v>
      </c>
      <c r="B75" s="908">
        <f>'8. Water'!B10</f>
        <v>2</v>
      </c>
      <c r="C75" s="805">
        <v>2</v>
      </c>
      <c r="D75" s="760" t="s">
        <v>772</v>
      </c>
      <c r="E75" s="760"/>
      <c r="F75" s="762"/>
      <c r="G75" s="785"/>
    </row>
    <row r="76" spans="1:7" x14ac:dyDescent="0.2">
      <c r="A76" s="822" t="s">
        <v>620</v>
      </c>
      <c r="B76" s="908">
        <f>'8. Water'!B12</f>
        <v>0</v>
      </c>
      <c r="C76" s="805">
        <v>1</v>
      </c>
      <c r="D76" s="760" t="s">
        <v>969</v>
      </c>
      <c r="E76" s="760"/>
      <c r="F76" s="762"/>
      <c r="G76" s="785"/>
    </row>
    <row r="77" spans="1:7" ht="16" x14ac:dyDescent="0.2">
      <c r="A77" s="777" t="s">
        <v>778</v>
      </c>
      <c r="B77" s="775"/>
      <c r="C77" s="775"/>
      <c r="D77" s="775"/>
      <c r="E77" s="775"/>
      <c r="F77" s="795"/>
      <c r="G77" s="785"/>
    </row>
    <row r="78" spans="1:7" x14ac:dyDescent="0.2">
      <c r="A78" s="796" t="s">
        <v>622</v>
      </c>
      <c r="B78" s="908">
        <f>'8. Water'!B15</f>
        <v>0</v>
      </c>
      <c r="C78" s="805" t="s">
        <v>933</v>
      </c>
      <c r="D78" s="1624" t="s">
        <v>970</v>
      </c>
      <c r="E78" s="1625"/>
      <c r="F78" s="762"/>
      <c r="G78" s="785"/>
    </row>
    <row r="79" spans="1:7" ht="16" x14ac:dyDescent="0.2">
      <c r="A79" s="777" t="s">
        <v>779</v>
      </c>
      <c r="B79" s="775"/>
      <c r="C79" s="775"/>
      <c r="D79" s="775"/>
      <c r="E79" s="775"/>
      <c r="F79" s="795"/>
      <c r="G79" s="785"/>
    </row>
    <row r="80" spans="1:7" x14ac:dyDescent="0.2">
      <c r="A80" s="824" t="s">
        <v>625</v>
      </c>
      <c r="B80" s="908">
        <f>'8. Water'!B18</f>
        <v>0</v>
      </c>
      <c r="C80" s="805" t="s">
        <v>933</v>
      </c>
      <c r="D80" s="760" t="s">
        <v>947</v>
      </c>
      <c r="E80" s="760"/>
      <c r="F80" s="762"/>
      <c r="G80" s="785"/>
    </row>
    <row r="81" spans="1:7" ht="16" x14ac:dyDescent="0.2">
      <c r="A81" s="777" t="s">
        <v>780</v>
      </c>
      <c r="B81" s="775"/>
      <c r="C81" s="775"/>
      <c r="D81" s="775"/>
      <c r="E81" s="775"/>
      <c r="F81" s="795"/>
      <c r="G81" s="785"/>
    </row>
    <row r="82" spans="1:7" x14ac:dyDescent="0.2">
      <c r="A82" s="822" t="s">
        <v>626</v>
      </c>
      <c r="B82" s="908">
        <f>'8. Water'!B21</f>
        <v>0</v>
      </c>
      <c r="C82" s="805">
        <v>2</v>
      </c>
      <c r="D82" s="760" t="s">
        <v>88</v>
      </c>
      <c r="E82" s="760"/>
      <c r="F82" s="762"/>
      <c r="G82" s="785"/>
    </row>
    <row r="83" spans="1:7" x14ac:dyDescent="0.2">
      <c r="A83" s="822" t="s">
        <v>627</v>
      </c>
      <c r="B83" s="908">
        <f>'8. Water'!B22</f>
        <v>0</v>
      </c>
      <c r="C83" s="805">
        <v>2</v>
      </c>
      <c r="D83" s="760" t="s">
        <v>89</v>
      </c>
      <c r="E83" s="760"/>
      <c r="F83" s="762"/>
      <c r="G83" s="785"/>
    </row>
    <row r="84" spans="1:7" x14ac:dyDescent="0.2">
      <c r="A84" s="822" t="s">
        <v>628</v>
      </c>
      <c r="B84" s="908">
        <f>'8. Water'!B23</f>
        <v>0</v>
      </c>
      <c r="C84" s="805">
        <v>2</v>
      </c>
      <c r="D84" s="760" t="s">
        <v>496</v>
      </c>
      <c r="E84" s="760"/>
      <c r="F84" s="762"/>
      <c r="G84" s="785"/>
    </row>
    <row r="85" spans="1:7" x14ac:dyDescent="0.2">
      <c r="A85" s="822" t="s">
        <v>629</v>
      </c>
      <c r="B85" s="908">
        <f>'8. Water'!B24</f>
        <v>0</v>
      </c>
      <c r="C85" s="805">
        <v>2</v>
      </c>
      <c r="D85" s="760" t="s">
        <v>91</v>
      </c>
      <c r="E85" s="760"/>
      <c r="F85" s="762"/>
      <c r="G85" s="785"/>
    </row>
    <row r="86" spans="1:7" ht="16" x14ac:dyDescent="0.2">
      <c r="A86" s="777" t="s">
        <v>781</v>
      </c>
      <c r="B86" s="775"/>
      <c r="C86" s="775"/>
      <c r="D86" s="775"/>
      <c r="E86" s="775"/>
      <c r="F86" s="795"/>
      <c r="G86" s="785"/>
    </row>
    <row r="87" spans="1:7" x14ac:dyDescent="0.2">
      <c r="A87" s="796" t="s">
        <v>630</v>
      </c>
      <c r="B87" s="773">
        <f>'8. Water'!B27</f>
        <v>3</v>
      </c>
      <c r="C87" s="805">
        <v>2</v>
      </c>
      <c r="D87" s="803" t="s">
        <v>497</v>
      </c>
      <c r="E87" s="803"/>
      <c r="F87" s="762"/>
      <c r="G87" s="785"/>
    </row>
    <row r="88" spans="1:7" x14ac:dyDescent="0.2">
      <c r="A88" s="796" t="s">
        <v>631</v>
      </c>
      <c r="B88" s="908">
        <f>'8. Water'!B28</f>
        <v>0</v>
      </c>
      <c r="C88" s="823" t="s">
        <v>93</v>
      </c>
      <c r="D88" s="803" t="s">
        <v>559</v>
      </c>
      <c r="E88" s="803"/>
      <c r="F88" s="762"/>
      <c r="G88" s="785"/>
    </row>
    <row r="89" spans="1:7" x14ac:dyDescent="0.2">
      <c r="A89" s="799"/>
      <c r="B89" s="765"/>
      <c r="C89" s="765"/>
      <c r="D89" s="825" t="str">
        <f>'8. Water'!D29</f>
        <v>-</v>
      </c>
      <c r="E89" s="762" t="s">
        <v>94</v>
      </c>
      <c r="F89" s="762"/>
      <c r="G89" s="785"/>
    </row>
    <row r="90" spans="1:7" x14ac:dyDescent="0.2">
      <c r="A90" s="822" t="s">
        <v>632</v>
      </c>
      <c r="B90" s="773">
        <f>'8. Water'!B30</f>
        <v>0</v>
      </c>
      <c r="C90" s="805">
        <v>2</v>
      </c>
      <c r="D90" s="803" t="s">
        <v>95</v>
      </c>
      <c r="E90" s="803"/>
      <c r="F90" s="762"/>
      <c r="G90" s="785"/>
    </row>
    <row r="91" spans="1:7" x14ac:dyDescent="0.2">
      <c r="A91" s="822" t="s">
        <v>633</v>
      </c>
      <c r="B91" s="908">
        <f>'8. Water'!B31</f>
        <v>0</v>
      </c>
      <c r="C91" s="805">
        <v>3</v>
      </c>
      <c r="D91" s="760" t="s">
        <v>96</v>
      </c>
      <c r="E91" s="760"/>
      <c r="F91" s="762"/>
      <c r="G91" s="785"/>
    </row>
    <row r="92" spans="1:7" x14ac:dyDescent="0.2">
      <c r="A92" s="822" t="s">
        <v>634</v>
      </c>
      <c r="B92" s="908">
        <f>'8. Water'!B32</f>
        <v>0</v>
      </c>
      <c r="C92" s="805">
        <v>2</v>
      </c>
      <c r="D92" s="760" t="s">
        <v>97</v>
      </c>
      <c r="E92" s="760"/>
      <c r="F92" s="762"/>
      <c r="G92" s="785"/>
    </row>
    <row r="93" spans="1:7" x14ac:dyDescent="0.2">
      <c r="A93" s="822" t="s">
        <v>635</v>
      </c>
      <c r="B93" s="773">
        <f>'8. Water'!B33</f>
        <v>0</v>
      </c>
      <c r="C93" s="805">
        <v>2</v>
      </c>
      <c r="D93" s="803" t="s">
        <v>98</v>
      </c>
      <c r="E93" s="803"/>
      <c r="F93" s="762"/>
      <c r="G93" s="785"/>
    </row>
    <row r="94" spans="1:7" x14ac:dyDescent="0.2">
      <c r="A94" s="822" t="s">
        <v>636</v>
      </c>
      <c r="B94" s="908">
        <f>'8. Water'!B34</f>
        <v>0</v>
      </c>
      <c r="C94" s="805">
        <v>1</v>
      </c>
      <c r="D94" s="760" t="s">
        <v>560</v>
      </c>
      <c r="E94" s="760"/>
      <c r="F94" s="762"/>
      <c r="G94" s="785"/>
    </row>
    <row r="95" spans="1:7" x14ac:dyDescent="0.2">
      <c r="A95" s="822" t="s">
        <v>637</v>
      </c>
      <c r="B95" s="908">
        <f>'8. Water'!B35</f>
        <v>0</v>
      </c>
      <c r="C95" s="805">
        <v>1</v>
      </c>
      <c r="D95" s="760" t="s">
        <v>100</v>
      </c>
      <c r="E95" s="760"/>
      <c r="F95" s="762"/>
      <c r="G95" s="785"/>
    </row>
    <row r="96" spans="1:7" x14ac:dyDescent="0.2">
      <c r="A96" s="822" t="s">
        <v>638</v>
      </c>
      <c r="B96" s="908">
        <f>'8. Water'!B36</f>
        <v>0</v>
      </c>
      <c r="C96" s="805">
        <v>2</v>
      </c>
      <c r="D96" s="760" t="s">
        <v>101</v>
      </c>
      <c r="E96" s="760"/>
      <c r="F96" s="762"/>
      <c r="G96" s="785"/>
    </row>
    <row r="97" spans="1:7" ht="16" x14ac:dyDescent="0.2">
      <c r="A97" s="826" t="s">
        <v>782</v>
      </c>
      <c r="B97" s="827"/>
      <c r="C97" s="827"/>
      <c r="D97" s="827"/>
      <c r="E97" s="827"/>
      <c r="F97" s="795"/>
      <c r="G97" s="785"/>
    </row>
    <row r="98" spans="1:7" x14ac:dyDescent="0.2">
      <c r="A98" s="796" t="s">
        <v>639</v>
      </c>
      <c r="B98" s="773">
        <f>'8. Water'!B39</f>
        <v>0</v>
      </c>
      <c r="C98" s="828">
        <v>10</v>
      </c>
      <c r="D98" s="787" t="s">
        <v>102</v>
      </c>
      <c r="E98" s="803"/>
      <c r="F98" s="762"/>
      <c r="G98" s="785"/>
    </row>
    <row r="99" spans="1:7" x14ac:dyDescent="0.2">
      <c r="A99" s="796" t="s">
        <v>640</v>
      </c>
      <c r="B99" s="908">
        <f>'8. Water'!B40</f>
        <v>0</v>
      </c>
      <c r="C99" s="805">
        <v>2</v>
      </c>
      <c r="D99" s="760" t="s">
        <v>103</v>
      </c>
      <c r="E99" s="760"/>
      <c r="F99" s="762"/>
      <c r="G99" s="785"/>
    </row>
    <row r="100" spans="1:7" x14ac:dyDescent="0.2">
      <c r="A100" s="799"/>
      <c r="B100" s="765"/>
      <c r="C100" s="765"/>
      <c r="D100" s="765"/>
      <c r="E100" s="765"/>
      <c r="F100" s="762"/>
      <c r="G100" s="785"/>
    </row>
    <row r="101" spans="1:7" x14ac:dyDescent="0.2">
      <c r="A101" s="822" t="s">
        <v>641</v>
      </c>
      <c r="B101" s="773">
        <f>'8. Water'!B42</f>
        <v>0</v>
      </c>
      <c r="C101" s="823" t="s">
        <v>973</v>
      </c>
      <c r="D101" s="803" t="s">
        <v>105</v>
      </c>
      <c r="E101" s="803"/>
      <c r="F101" s="762"/>
      <c r="G101" s="785"/>
    </row>
    <row r="102" spans="1:7" x14ac:dyDescent="0.2">
      <c r="A102" s="799"/>
      <c r="B102" s="765"/>
      <c r="C102" s="1923"/>
      <c r="D102" s="908" t="str">
        <f>'8. Water'!D43</f>
        <v>-</v>
      </c>
      <c r="E102" s="760" t="s">
        <v>507</v>
      </c>
      <c r="F102" s="762"/>
      <c r="G102" s="785"/>
    </row>
    <row r="103" spans="1:7" x14ac:dyDescent="0.2">
      <c r="A103" s="799"/>
      <c r="B103" s="765"/>
      <c r="C103" s="1923"/>
      <c r="D103" s="908" t="str">
        <f>'8. Water'!D44</f>
        <v>-</v>
      </c>
      <c r="E103" s="760" t="s">
        <v>508</v>
      </c>
      <c r="F103" s="762"/>
      <c r="G103" s="785"/>
    </row>
    <row r="104" spans="1:7" x14ac:dyDescent="0.2">
      <c r="A104" s="799"/>
      <c r="B104" s="765"/>
      <c r="C104" s="1923"/>
      <c r="D104" s="908" t="str">
        <f>'8. Water'!D45</f>
        <v>-</v>
      </c>
      <c r="E104" s="760" t="s">
        <v>509</v>
      </c>
      <c r="F104" s="762"/>
      <c r="G104" s="785"/>
    </row>
    <row r="105" spans="1:7" x14ac:dyDescent="0.2">
      <c r="A105" s="799"/>
      <c r="B105" s="765"/>
      <c r="C105" s="1923"/>
      <c r="D105" s="908">
        <f>'8. Water'!D46</f>
        <v>0</v>
      </c>
      <c r="E105" s="760" t="s">
        <v>561</v>
      </c>
      <c r="F105" s="762"/>
      <c r="G105" s="785"/>
    </row>
    <row r="106" spans="1:7" x14ac:dyDescent="0.2">
      <c r="A106" s="799"/>
      <c r="B106" s="765"/>
      <c r="C106" s="1923"/>
      <c r="D106" s="908" t="str">
        <f>'8. Water'!D47</f>
        <v>-</v>
      </c>
      <c r="E106" s="784" t="s">
        <v>510</v>
      </c>
      <c r="F106" s="762"/>
      <c r="G106" s="785"/>
    </row>
    <row r="107" spans="1:7" x14ac:dyDescent="0.2">
      <c r="A107" s="822" t="s">
        <v>642</v>
      </c>
      <c r="B107" s="908">
        <f>'8. Water'!B54</f>
        <v>0</v>
      </c>
      <c r="C107" s="805">
        <v>1</v>
      </c>
      <c r="D107" s="765"/>
      <c r="E107" s="765"/>
      <c r="F107" s="762"/>
      <c r="G107" s="785"/>
    </row>
    <row r="108" spans="1:7" x14ac:dyDescent="0.2">
      <c r="A108" s="799"/>
      <c r="B108" s="830" t="s">
        <v>365</v>
      </c>
      <c r="C108" s="908" t="e">
        <f>'8. Water'!#REF!</f>
        <v>#REF!</v>
      </c>
      <c r="D108" s="760" t="s">
        <v>571</v>
      </c>
      <c r="E108" s="760"/>
      <c r="F108" s="762"/>
      <c r="G108" s="785"/>
    </row>
    <row r="109" spans="1:7" x14ac:dyDescent="0.2">
      <c r="A109" s="799"/>
      <c r="B109" s="830"/>
      <c r="C109" s="908" t="e">
        <f>'8. Water'!#REF!</f>
        <v>#REF!</v>
      </c>
      <c r="D109" s="760" t="s">
        <v>502</v>
      </c>
      <c r="E109" s="760"/>
      <c r="F109" s="762"/>
      <c r="G109" s="785"/>
    </row>
    <row r="110" spans="1:7" x14ac:dyDescent="0.2">
      <c r="A110" s="764" t="s">
        <v>961</v>
      </c>
      <c r="B110" s="908">
        <f>'8. Water'!B55</f>
        <v>0</v>
      </c>
      <c r="C110" s="900">
        <v>1</v>
      </c>
      <c r="D110" s="902" t="s">
        <v>446</v>
      </c>
      <c r="E110" s="902"/>
      <c r="F110" s="762"/>
      <c r="G110" s="785"/>
    </row>
    <row r="111" spans="1:7" x14ac:dyDescent="0.2">
      <c r="A111" s="764" t="s">
        <v>963</v>
      </c>
      <c r="B111" s="908">
        <f>'8. Water'!B56</f>
        <v>0</v>
      </c>
      <c r="C111" s="901">
        <v>2</v>
      </c>
      <c r="D111" s="872" t="s">
        <v>962</v>
      </c>
      <c r="E111" s="872"/>
      <c r="F111" s="762"/>
      <c r="G111" s="785"/>
    </row>
    <row r="112" spans="1:7" x14ac:dyDescent="0.2">
      <c r="A112" s="764" t="s">
        <v>964</v>
      </c>
      <c r="B112" s="908">
        <f>'8. Water'!B57</f>
        <v>0</v>
      </c>
      <c r="C112" s="900">
        <v>1</v>
      </c>
      <c r="D112" s="872" t="s">
        <v>965</v>
      </c>
      <c r="E112" s="872"/>
      <c r="F112" s="762"/>
      <c r="G112" s="785"/>
    </row>
    <row r="113" spans="1:7" ht="16" x14ac:dyDescent="0.2">
      <c r="A113" s="826" t="s">
        <v>783</v>
      </c>
      <c r="B113" s="827"/>
      <c r="C113" s="827"/>
      <c r="D113" s="827"/>
      <c r="E113" s="827"/>
      <c r="F113" s="795"/>
      <c r="G113" s="785"/>
    </row>
    <row r="114" spans="1:7" x14ac:dyDescent="0.2">
      <c r="A114" s="822" t="s">
        <v>748</v>
      </c>
      <c r="B114" s="908">
        <f>'8. Water'!B60</f>
        <v>0</v>
      </c>
      <c r="C114" s="805">
        <v>5</v>
      </c>
      <c r="D114" s="831" t="s">
        <v>760</v>
      </c>
      <c r="E114" s="831"/>
      <c r="F114" s="762"/>
      <c r="G114" s="785"/>
    </row>
    <row r="115" spans="1:7" ht="17" x14ac:dyDescent="0.2">
      <c r="A115" s="822" t="s">
        <v>749</v>
      </c>
      <c r="B115" s="908">
        <f>'8. Water'!B61</f>
        <v>0</v>
      </c>
      <c r="C115" s="805">
        <v>2</v>
      </c>
      <c r="D115" s="831" t="s">
        <v>948</v>
      </c>
      <c r="E115" s="831"/>
      <c r="F115" s="762"/>
      <c r="G115" s="785"/>
    </row>
    <row r="116" spans="1:7" x14ac:dyDescent="0.2">
      <c r="A116" s="799"/>
      <c r="B116" s="908">
        <f>'8. Water'!B62</f>
        <v>12</v>
      </c>
      <c r="C116" s="832">
        <v>57</v>
      </c>
      <c r="D116" s="800" t="s">
        <v>111</v>
      </c>
      <c r="E116" s="800"/>
      <c r="F116" s="760"/>
      <c r="G116" s="785"/>
    </row>
    <row r="117" spans="1:7" x14ac:dyDescent="0.2">
      <c r="A117" s="799"/>
      <c r="B117" s="765"/>
      <c r="C117" s="765"/>
      <c r="D117" s="765"/>
      <c r="E117" s="765"/>
      <c r="F117" s="760"/>
      <c r="G117" s="785"/>
    </row>
    <row r="118" spans="1:7" ht="19" x14ac:dyDescent="0.25">
      <c r="A118" s="799"/>
      <c r="B118" s="772">
        <f>'8. Water'!B64</f>
        <v>12</v>
      </c>
      <c r="C118" s="833" t="s">
        <v>112</v>
      </c>
      <c r="D118" s="833"/>
      <c r="E118" s="833"/>
      <c r="F118" s="760"/>
      <c r="G118" s="785"/>
    </row>
    <row r="119" spans="1:7" x14ac:dyDescent="0.2">
      <c r="A119" s="834" t="s">
        <v>113</v>
      </c>
      <c r="B119" s="835"/>
      <c r="C119" s="835"/>
      <c r="D119" s="1476">
        <f>'8. Water'!E66</f>
        <v>0</v>
      </c>
      <c r="E119" s="1476"/>
      <c r="F119" s="1476"/>
      <c r="G119" s="1477"/>
    </row>
    <row r="120" spans="1:7" x14ac:dyDescent="0.2">
      <c r="A120" s="834" t="s">
        <v>784</v>
      </c>
      <c r="B120" s="835"/>
      <c r="C120" s="835"/>
      <c r="D120" s="1478">
        <f>'8. Water'!E67</f>
        <v>0</v>
      </c>
      <c r="E120" s="1478"/>
      <c r="F120" s="1478"/>
      <c r="G120" s="1479"/>
    </row>
    <row r="121" spans="1:7" ht="16" thickBot="1" x14ac:dyDescent="0.25">
      <c r="A121" s="836" t="s">
        <v>494</v>
      </c>
      <c r="B121" s="837"/>
      <c r="C121" s="837"/>
      <c r="D121" s="1480">
        <f>'8. Water'!E68</f>
        <v>0</v>
      </c>
      <c r="E121" s="1480"/>
      <c r="F121" s="1480"/>
      <c r="G121" s="1481"/>
    </row>
    <row r="122" spans="1:7" ht="21" customHeight="1" x14ac:dyDescent="0.25">
      <c r="A122" s="780" t="s">
        <v>786</v>
      </c>
      <c r="B122" s="781"/>
      <c r="C122" s="781"/>
      <c r="D122" s="781"/>
      <c r="E122" s="781"/>
      <c r="F122" s="781"/>
      <c r="G122" s="883" t="str">
        <f>'1. Instructions'!B5</f>
        <v>Revised 4-5-2022</v>
      </c>
    </row>
    <row r="123" spans="1:7" ht="16" x14ac:dyDescent="0.2">
      <c r="A123" s="794" t="s">
        <v>162</v>
      </c>
      <c r="B123" s="904"/>
      <c r="C123" s="904"/>
      <c r="D123" s="904"/>
      <c r="E123" s="904"/>
      <c r="F123" s="904"/>
      <c r="G123" s="839"/>
    </row>
    <row r="124" spans="1:7" x14ac:dyDescent="0.2">
      <c r="A124" s="822" t="s">
        <v>643</v>
      </c>
      <c r="B124" s="908">
        <f>'9. Lot Choice'!B5</f>
        <v>0</v>
      </c>
      <c r="C124" s="797" t="s">
        <v>150</v>
      </c>
      <c r="D124" s="765" t="s">
        <v>151</v>
      </c>
      <c r="E124" s="765"/>
      <c r="F124" s="765"/>
      <c r="G124" s="840"/>
    </row>
    <row r="125" spans="1:7" x14ac:dyDescent="0.2">
      <c r="A125" s="799"/>
      <c r="B125" s="765"/>
      <c r="C125" s="765"/>
      <c r="D125" s="908">
        <f>'9. Lot Choice'!D6</f>
        <v>0</v>
      </c>
      <c r="E125" s="841">
        <f>'9. Lot Choice'!E6</f>
        <v>0</v>
      </c>
      <c r="F125" s="842" t="s">
        <v>785</v>
      </c>
      <c r="G125" s="843"/>
    </row>
    <row r="126" spans="1:7" x14ac:dyDescent="0.2">
      <c r="A126" s="799"/>
      <c r="B126" s="765"/>
      <c r="C126" s="765"/>
      <c r="D126" s="908" t="e">
        <f>'9. Lot Choice'!#REF!</f>
        <v>#REF!</v>
      </c>
      <c r="E126" s="765" t="s">
        <v>152</v>
      </c>
      <c r="F126" s="765"/>
      <c r="G126" s="843"/>
    </row>
    <row r="127" spans="1:7" x14ac:dyDescent="0.2">
      <c r="A127" s="822" t="s">
        <v>644</v>
      </c>
      <c r="B127" s="908">
        <f>'9. Lot Choice'!B7</f>
        <v>0</v>
      </c>
      <c r="C127" s="844">
        <v>2</v>
      </c>
      <c r="D127" s="765" t="s">
        <v>153</v>
      </c>
      <c r="E127" s="765"/>
      <c r="F127" s="765"/>
      <c r="G127" s="843"/>
    </row>
    <row r="128" spans="1:7" x14ac:dyDescent="0.2">
      <c r="A128" s="822" t="s">
        <v>645</v>
      </c>
      <c r="B128" s="908">
        <f>'9. Lot Choice'!B8</f>
        <v>0</v>
      </c>
      <c r="C128" s="804">
        <v>2</v>
      </c>
      <c r="D128" s="842" t="s">
        <v>575</v>
      </c>
      <c r="E128" s="842"/>
      <c r="F128" s="842"/>
      <c r="G128" s="843"/>
    </row>
    <row r="129" spans="1:7" x14ac:dyDescent="0.2">
      <c r="A129" s="822" t="s">
        <v>646</v>
      </c>
      <c r="B129" s="908">
        <f>'9. Lot Choice'!B9</f>
        <v>0</v>
      </c>
      <c r="C129" s="844">
        <v>1</v>
      </c>
      <c r="D129" s="842" t="s">
        <v>574</v>
      </c>
      <c r="E129" s="842"/>
      <c r="F129" s="842"/>
      <c r="G129" s="843"/>
    </row>
    <row r="130" spans="1:7" x14ac:dyDescent="0.2">
      <c r="A130" s="822" t="s">
        <v>647</v>
      </c>
      <c r="B130" s="908">
        <f>'9. Lot Choice'!B10</f>
        <v>0</v>
      </c>
      <c r="C130" s="804">
        <v>2</v>
      </c>
      <c r="D130" s="842" t="s">
        <v>468</v>
      </c>
      <c r="E130" s="842"/>
      <c r="F130" s="842"/>
      <c r="G130" s="843"/>
    </row>
    <row r="131" spans="1:7" x14ac:dyDescent="0.2">
      <c r="A131" s="822" t="s">
        <v>648</v>
      </c>
      <c r="B131" s="908">
        <f>'9. Lot Choice'!B11</f>
        <v>0</v>
      </c>
      <c r="C131" s="804">
        <v>2</v>
      </c>
      <c r="D131" s="765" t="s">
        <v>156</v>
      </c>
      <c r="E131" s="765"/>
      <c r="F131" s="765"/>
      <c r="G131" s="843"/>
    </row>
    <row r="132" spans="1:7" x14ac:dyDescent="0.2">
      <c r="A132" s="822" t="s">
        <v>649</v>
      </c>
      <c r="B132" s="908" t="str">
        <f>'9. Lot Choice'!B12</f>
        <v xml:space="preserve"> </v>
      </c>
      <c r="C132" s="804">
        <v>2</v>
      </c>
      <c r="D132" s="760" t="s">
        <v>562</v>
      </c>
      <c r="E132" s="760"/>
      <c r="F132" s="760"/>
      <c r="G132" s="843"/>
    </row>
    <row r="133" spans="1:7" x14ac:dyDescent="0.2">
      <c r="A133" s="799"/>
      <c r="B133" s="765"/>
      <c r="C133" s="765"/>
      <c r="D133" s="908" t="e">
        <f>'9. Lot Choice'!#REF!</f>
        <v>#REF!</v>
      </c>
      <c r="E133" s="842" t="s">
        <v>754</v>
      </c>
      <c r="F133" s="842"/>
      <c r="G133" s="843"/>
    </row>
    <row r="134" spans="1:7" x14ac:dyDescent="0.2">
      <c r="A134" s="799"/>
      <c r="B134" s="765"/>
      <c r="C134" s="765"/>
      <c r="D134" s="908">
        <f>'9. Lot Choice'!D13</f>
        <v>0</v>
      </c>
      <c r="E134" s="835" t="s">
        <v>163</v>
      </c>
      <c r="F134" s="835"/>
      <c r="G134" s="843"/>
    </row>
    <row r="135" spans="1:7" x14ac:dyDescent="0.2">
      <c r="A135" s="799"/>
      <c r="B135" s="765"/>
      <c r="C135" s="765"/>
      <c r="D135" s="908">
        <f>'9. Lot Choice'!D14</f>
        <v>0</v>
      </c>
      <c r="E135" s="835" t="s">
        <v>164</v>
      </c>
      <c r="F135" s="835"/>
      <c r="G135" s="843"/>
    </row>
    <row r="136" spans="1:7" x14ac:dyDescent="0.2">
      <c r="A136" s="799"/>
      <c r="B136" s="765"/>
      <c r="C136" s="765"/>
      <c r="D136" s="908">
        <f>'9. Lot Choice'!D15</f>
        <v>0</v>
      </c>
      <c r="E136" s="835" t="s">
        <v>165</v>
      </c>
      <c r="F136" s="835"/>
      <c r="G136" s="843"/>
    </row>
    <row r="137" spans="1:7" x14ac:dyDescent="0.2">
      <c r="A137" s="799"/>
      <c r="B137" s="765"/>
      <c r="C137" s="765"/>
      <c r="D137" s="908">
        <f>'9. Lot Choice'!D16</f>
        <v>0</v>
      </c>
      <c r="E137" s="835" t="s">
        <v>166</v>
      </c>
      <c r="F137" s="835"/>
      <c r="G137" s="843"/>
    </row>
    <row r="138" spans="1:7" x14ac:dyDescent="0.2">
      <c r="A138" s="799"/>
      <c r="B138" s="765"/>
      <c r="C138" s="765"/>
      <c r="D138" s="908">
        <f>'9. Lot Choice'!D17</f>
        <v>0</v>
      </c>
      <c r="E138" s="835" t="s">
        <v>167</v>
      </c>
      <c r="F138" s="835"/>
      <c r="G138" s="843"/>
    </row>
    <row r="139" spans="1:7" x14ac:dyDescent="0.2">
      <c r="A139" s="799"/>
      <c r="B139" s="765"/>
      <c r="C139" s="765"/>
      <c r="D139" s="908">
        <f>'9. Lot Choice'!D18</f>
        <v>0</v>
      </c>
      <c r="E139" s="835" t="s">
        <v>168</v>
      </c>
      <c r="F139" s="835"/>
      <c r="G139" s="843"/>
    </row>
    <row r="140" spans="1:7" x14ac:dyDescent="0.2">
      <c r="A140" s="799"/>
      <c r="B140" s="765"/>
      <c r="C140" s="765"/>
      <c r="D140" s="908">
        <f>'9. Lot Choice'!D19</f>
        <v>0</v>
      </c>
      <c r="E140" s="835" t="s">
        <v>169</v>
      </c>
      <c r="F140" s="835"/>
      <c r="G140" s="843"/>
    </row>
    <row r="141" spans="1:7" x14ac:dyDescent="0.2">
      <c r="A141" s="799"/>
      <c r="B141" s="765"/>
      <c r="C141" s="765"/>
      <c r="D141" s="908">
        <f>'9. Lot Choice'!D20</f>
        <v>0</v>
      </c>
      <c r="E141" s="835" t="s">
        <v>170</v>
      </c>
      <c r="F141" s="835"/>
      <c r="G141" s="843"/>
    </row>
    <row r="142" spans="1:7" x14ac:dyDescent="0.2">
      <c r="A142" s="799"/>
      <c r="B142" s="765"/>
      <c r="C142" s="765"/>
      <c r="D142" s="908">
        <f>'9. Lot Choice'!D21</f>
        <v>0</v>
      </c>
      <c r="E142" s="835" t="s">
        <v>171</v>
      </c>
      <c r="F142" s="835"/>
      <c r="G142" s="843"/>
    </row>
    <row r="143" spans="1:7" x14ac:dyDescent="0.2">
      <c r="A143" s="799"/>
      <c r="B143" s="765"/>
      <c r="C143" s="765"/>
      <c r="D143" s="908">
        <f>'9. Lot Choice'!D22</f>
        <v>0</v>
      </c>
      <c r="E143" s="835" t="s">
        <v>172</v>
      </c>
      <c r="F143" s="835"/>
      <c r="G143" s="843"/>
    </row>
    <row r="144" spans="1:7" x14ac:dyDescent="0.2">
      <c r="A144" s="799"/>
      <c r="B144" s="765"/>
      <c r="C144" s="765"/>
      <c r="D144" s="908">
        <f>'9. Lot Choice'!D23</f>
        <v>0</v>
      </c>
      <c r="E144" s="835" t="s">
        <v>173</v>
      </c>
      <c r="F144" s="835"/>
      <c r="G144" s="843"/>
    </row>
    <row r="145" spans="1:7" x14ac:dyDescent="0.2">
      <c r="A145" s="799"/>
      <c r="B145" s="765"/>
      <c r="C145" s="765"/>
      <c r="D145" s="908">
        <f>'9. Lot Choice'!D24</f>
        <v>0</v>
      </c>
      <c r="E145" s="835" t="s">
        <v>174</v>
      </c>
      <c r="F145" s="835"/>
      <c r="G145" s="843"/>
    </row>
    <row r="146" spans="1:7" x14ac:dyDescent="0.2">
      <c r="A146" s="799"/>
      <c r="B146" s="765"/>
      <c r="C146" s="765"/>
      <c r="D146" s="908">
        <f>'9. Lot Choice'!D25</f>
        <v>0</v>
      </c>
      <c r="E146" s="835" t="s">
        <v>175</v>
      </c>
      <c r="F146" s="835"/>
      <c r="G146" s="843"/>
    </row>
    <row r="147" spans="1:7" x14ac:dyDescent="0.2">
      <c r="A147" s="799"/>
      <c r="B147" s="765"/>
      <c r="C147" s="765"/>
      <c r="D147" s="908">
        <f>'9. Lot Choice'!D31</f>
        <v>0</v>
      </c>
      <c r="E147" s="835" t="s">
        <v>176</v>
      </c>
      <c r="F147" s="835"/>
      <c r="G147" s="843"/>
    </row>
    <row r="148" spans="1:7" x14ac:dyDescent="0.2">
      <c r="A148" s="799"/>
      <c r="B148" s="765"/>
      <c r="C148" s="765"/>
      <c r="D148" s="908">
        <f>'9. Lot Choice'!D32</f>
        <v>0</v>
      </c>
      <c r="E148" s="835" t="s">
        <v>177</v>
      </c>
      <c r="F148" s="835"/>
      <c r="G148" s="843"/>
    </row>
    <row r="149" spans="1:7" x14ac:dyDescent="0.2">
      <c r="A149" s="799"/>
      <c r="B149" s="765"/>
      <c r="C149" s="765"/>
      <c r="D149" s="908">
        <f>'9. Lot Choice'!D33</f>
        <v>0</v>
      </c>
      <c r="E149" s="835" t="s">
        <v>178</v>
      </c>
      <c r="F149" s="835"/>
      <c r="G149" s="843"/>
    </row>
    <row r="150" spans="1:7" x14ac:dyDescent="0.2">
      <c r="A150" s="799"/>
      <c r="B150" s="765"/>
      <c r="C150" s="765"/>
      <c r="D150" s="908">
        <f>'9. Lot Choice'!D34</f>
        <v>0</v>
      </c>
      <c r="E150" s="835" t="s">
        <v>179</v>
      </c>
      <c r="F150" s="835"/>
      <c r="G150" s="843"/>
    </row>
    <row r="151" spans="1:7" x14ac:dyDescent="0.2">
      <c r="A151" s="799"/>
      <c r="B151" s="765"/>
      <c r="C151" s="765"/>
      <c r="D151" s="908">
        <f>'9. Lot Choice'!D35</f>
        <v>0</v>
      </c>
      <c r="E151" s="835" t="s">
        <v>180</v>
      </c>
      <c r="F151" s="835"/>
      <c r="G151" s="843"/>
    </row>
    <row r="152" spans="1:7" x14ac:dyDescent="0.2">
      <c r="A152" s="799"/>
      <c r="B152" s="765"/>
      <c r="C152" s="765"/>
      <c r="D152" s="908" t="e">
        <f>'9. Lot Choice'!#REF!</f>
        <v>#REF!</v>
      </c>
      <c r="E152" s="835" t="s">
        <v>181</v>
      </c>
      <c r="F152" s="835"/>
      <c r="G152" s="843"/>
    </row>
    <row r="153" spans="1:7" x14ac:dyDescent="0.2">
      <c r="A153" s="822" t="s">
        <v>650</v>
      </c>
      <c r="B153" s="908">
        <f>'9. Lot Choice'!B39</f>
        <v>0</v>
      </c>
      <c r="C153" s="804">
        <v>2</v>
      </c>
      <c r="D153" s="842" t="s">
        <v>449</v>
      </c>
      <c r="E153" s="842"/>
      <c r="F153" s="842"/>
      <c r="G153" s="843"/>
    </row>
    <row r="154" spans="1:7" x14ac:dyDescent="0.2">
      <c r="A154" s="822" t="s">
        <v>651</v>
      </c>
      <c r="B154" s="908">
        <f>'9. Lot Choice'!B40</f>
        <v>0</v>
      </c>
      <c r="C154" s="804">
        <v>2</v>
      </c>
      <c r="D154" s="765" t="s">
        <v>159</v>
      </c>
      <c r="E154" s="765"/>
      <c r="F154" s="765"/>
      <c r="G154" s="843"/>
    </row>
    <row r="155" spans="1:7" x14ac:dyDescent="0.2">
      <c r="A155" s="799"/>
      <c r="B155" s="908">
        <f>'9. Lot Choice'!B41</f>
        <v>0</v>
      </c>
      <c r="C155" s="804">
        <v>21</v>
      </c>
      <c r="D155" s="765" t="s">
        <v>111</v>
      </c>
      <c r="E155" s="765"/>
      <c r="F155" s="765"/>
      <c r="G155" s="845"/>
    </row>
    <row r="156" spans="1:7" x14ac:dyDescent="0.2">
      <c r="A156" s="799"/>
      <c r="B156" s="765"/>
      <c r="C156" s="765"/>
      <c r="D156" s="765"/>
      <c r="E156" s="765"/>
      <c r="F156" s="765"/>
      <c r="G156" s="845"/>
    </row>
    <row r="157" spans="1:7" ht="19" x14ac:dyDescent="0.25">
      <c r="A157" s="799"/>
      <c r="B157" s="772">
        <f>'9. Lot Choice'!B43</f>
        <v>0</v>
      </c>
      <c r="C157" s="812" t="s">
        <v>160</v>
      </c>
      <c r="D157" s="812"/>
      <c r="E157" s="812"/>
      <c r="F157" s="812"/>
      <c r="G157" s="845"/>
    </row>
    <row r="158" spans="1:7" ht="16" thickBot="1" x14ac:dyDescent="0.25">
      <c r="A158" s="815" t="s">
        <v>161</v>
      </c>
      <c r="B158" s="816"/>
      <c r="C158" s="816"/>
      <c r="D158" s="1482" t="e">
        <f>'9. Lot Choice'!E45:F45</f>
        <v>#VALUE!</v>
      </c>
      <c r="E158" s="1482"/>
      <c r="F158" s="1482"/>
      <c r="G158" s="1483"/>
    </row>
    <row r="159" spans="1:7" ht="21" customHeight="1" x14ac:dyDescent="0.25">
      <c r="A159" s="780" t="s">
        <v>787</v>
      </c>
      <c r="B159" s="781"/>
      <c r="C159" s="781"/>
      <c r="D159" s="781"/>
      <c r="E159" s="781"/>
      <c r="F159" s="781"/>
      <c r="G159" s="838"/>
    </row>
    <row r="160" spans="1:7" ht="16" x14ac:dyDescent="0.2">
      <c r="A160" s="794" t="s">
        <v>222</v>
      </c>
      <c r="B160" s="904"/>
      <c r="C160" s="904"/>
      <c r="D160" s="904"/>
      <c r="E160" s="904"/>
      <c r="F160" s="904"/>
      <c r="G160" s="839"/>
    </row>
    <row r="161" spans="1:7" ht="15.75" customHeight="1" x14ac:dyDescent="0.2">
      <c r="A161" s="846" t="s">
        <v>433</v>
      </c>
      <c r="B161" s="1453" t="str">
        <f>'10. Site'!B3</f>
        <v>N/A</v>
      </c>
      <c r="C161" s="1453"/>
      <c r="D161" s="1927" t="s">
        <v>788</v>
      </c>
      <c r="E161" s="1927"/>
      <c r="F161" s="1927"/>
      <c r="G161" s="1928"/>
    </row>
    <row r="162" spans="1:7" ht="28.5" customHeight="1" x14ac:dyDescent="0.2">
      <c r="A162" s="846"/>
      <c r="B162" s="847"/>
      <c r="C162" s="904"/>
      <c r="D162" s="1927"/>
      <c r="E162" s="1927"/>
      <c r="F162" s="1927"/>
      <c r="G162" s="1928"/>
    </row>
    <row r="163" spans="1:7" ht="16" x14ac:dyDescent="0.2">
      <c r="A163" s="777" t="s">
        <v>185</v>
      </c>
      <c r="B163" s="775"/>
      <c r="C163" s="775"/>
      <c r="D163" s="775"/>
      <c r="E163" s="775"/>
      <c r="F163" s="775"/>
      <c r="G163" s="848"/>
    </row>
    <row r="164" spans="1:7" x14ac:dyDescent="0.2">
      <c r="A164" s="822" t="s">
        <v>652</v>
      </c>
      <c r="B164" s="773">
        <f>'10. Site'!B7</f>
        <v>0</v>
      </c>
      <c r="C164" s="802">
        <v>2</v>
      </c>
      <c r="D164" s="849" t="s">
        <v>186</v>
      </c>
      <c r="E164" s="849"/>
      <c r="F164" s="849"/>
      <c r="G164" s="850"/>
    </row>
    <row r="165" spans="1:7" x14ac:dyDescent="0.2">
      <c r="A165" s="822" t="s">
        <v>653</v>
      </c>
      <c r="B165" s="908">
        <f>'10. Site'!B8</f>
        <v>0</v>
      </c>
      <c r="C165" s="797" t="s">
        <v>47</v>
      </c>
      <c r="D165" s="765" t="s">
        <v>187</v>
      </c>
      <c r="E165" s="765"/>
      <c r="F165" s="765"/>
      <c r="G165" s="851"/>
    </row>
    <row r="166" spans="1:7" x14ac:dyDescent="0.2">
      <c r="A166" s="799"/>
      <c r="B166" s="765"/>
      <c r="C166" s="765"/>
      <c r="D166" s="800" t="s">
        <v>215</v>
      </c>
      <c r="E166" s="800"/>
      <c r="F166" s="800"/>
      <c r="G166" s="852"/>
    </row>
    <row r="167" spans="1:7" x14ac:dyDescent="0.2">
      <c r="A167" s="799"/>
      <c r="B167" s="765"/>
      <c r="C167" s="765"/>
      <c r="D167" s="1463" t="str">
        <f>'10. Site'!D10</f>
        <v>?</v>
      </c>
      <c r="E167" s="1463"/>
      <c r="F167" s="760"/>
      <c r="G167" s="845"/>
    </row>
    <row r="168" spans="1:7" x14ac:dyDescent="0.2">
      <c r="A168" s="822" t="s">
        <v>654</v>
      </c>
      <c r="B168" s="908">
        <f>'10. Site'!B11</f>
        <v>0</v>
      </c>
      <c r="C168" s="804">
        <v>2</v>
      </c>
      <c r="D168" s="765" t="s">
        <v>188</v>
      </c>
      <c r="E168" s="765"/>
      <c r="F168" s="765"/>
      <c r="G168" s="851"/>
    </row>
    <row r="169" spans="1:7" x14ac:dyDescent="0.2">
      <c r="A169" s="822" t="s">
        <v>655</v>
      </c>
      <c r="B169" s="908">
        <f>'10. Site'!B12</f>
        <v>0</v>
      </c>
      <c r="C169" s="797" t="s">
        <v>189</v>
      </c>
      <c r="D169" s="765" t="s">
        <v>190</v>
      </c>
      <c r="E169" s="765"/>
      <c r="F169" s="765"/>
      <c r="G169" s="851"/>
    </row>
    <row r="170" spans="1:7" x14ac:dyDescent="0.2">
      <c r="A170" s="799"/>
      <c r="B170" s="765"/>
      <c r="C170" s="765"/>
      <c r="D170" s="908">
        <f>'10. Site'!D13</f>
        <v>0</v>
      </c>
      <c r="E170" s="765" t="s">
        <v>191</v>
      </c>
      <c r="F170" s="765"/>
      <c r="G170" s="851"/>
    </row>
    <row r="171" spans="1:7" ht="16" x14ac:dyDescent="0.2">
      <c r="A171" s="777" t="s">
        <v>469</v>
      </c>
      <c r="B171" s="775"/>
      <c r="C171" s="775"/>
      <c r="D171" s="775"/>
      <c r="E171" s="775"/>
      <c r="F171" s="775"/>
      <c r="G171" s="848"/>
    </row>
    <row r="172" spans="1:7" x14ac:dyDescent="0.2">
      <c r="A172" s="822" t="s">
        <v>656</v>
      </c>
      <c r="B172" s="908">
        <f>'10. Site'!B16</f>
        <v>0</v>
      </c>
      <c r="C172" s="804">
        <v>2</v>
      </c>
      <c r="D172" s="765" t="s">
        <v>194</v>
      </c>
      <c r="E172" s="765"/>
      <c r="F172" s="765"/>
      <c r="G172" s="851"/>
    </row>
    <row r="173" spans="1:7" x14ac:dyDescent="0.2">
      <c r="A173" s="822" t="s">
        <v>657</v>
      </c>
      <c r="B173" s="908">
        <f>'10. Site'!B17</f>
        <v>0</v>
      </c>
      <c r="C173" s="797" t="s">
        <v>47</v>
      </c>
      <c r="D173" s="765" t="s">
        <v>193</v>
      </c>
      <c r="E173" s="765"/>
      <c r="F173" s="765"/>
      <c r="G173" s="851"/>
    </row>
    <row r="174" spans="1:7" x14ac:dyDescent="0.2">
      <c r="A174" s="799"/>
      <c r="B174" s="765"/>
      <c r="C174" s="765"/>
      <c r="D174" s="800" t="s">
        <v>218</v>
      </c>
      <c r="E174" s="800"/>
      <c r="F174" s="841">
        <f>'10. Site'!F18</f>
        <v>0</v>
      </c>
      <c r="G174" s="851"/>
    </row>
    <row r="175" spans="1:7" ht="16" x14ac:dyDescent="0.2">
      <c r="A175" s="777" t="s">
        <v>195</v>
      </c>
      <c r="B175" s="775"/>
      <c r="C175" s="775"/>
      <c r="D175" s="775"/>
      <c r="E175" s="775"/>
      <c r="F175" s="775"/>
      <c r="G175" s="848"/>
    </row>
    <row r="176" spans="1:7" x14ac:dyDescent="0.2">
      <c r="A176" s="822" t="s">
        <v>658</v>
      </c>
      <c r="B176" s="908">
        <f>'10. Site'!B21</f>
        <v>2</v>
      </c>
      <c r="C176" s="804">
        <v>2</v>
      </c>
      <c r="D176" s="798" t="s">
        <v>196</v>
      </c>
      <c r="E176" s="798"/>
      <c r="F176" s="798"/>
      <c r="G176" s="853"/>
    </row>
    <row r="177" spans="1:7" x14ac:dyDescent="0.2">
      <c r="A177" s="822" t="s">
        <v>659</v>
      </c>
      <c r="B177" s="908">
        <f>'10. Site'!B22</f>
        <v>0</v>
      </c>
      <c r="C177" s="804">
        <v>1</v>
      </c>
      <c r="D177" s="765" t="s">
        <v>197</v>
      </c>
      <c r="E177" s="765"/>
      <c r="F177" s="765"/>
      <c r="G177" s="851"/>
    </row>
    <row r="178" spans="1:7" x14ac:dyDescent="0.2">
      <c r="A178" s="822" t="s">
        <v>660</v>
      </c>
      <c r="B178" s="908">
        <f>'10. Site'!B23</f>
        <v>0</v>
      </c>
      <c r="C178" s="804">
        <v>2</v>
      </c>
      <c r="D178" s="765" t="s">
        <v>198</v>
      </c>
      <c r="E178" s="765"/>
      <c r="F178" s="765"/>
      <c r="G178" s="851"/>
    </row>
    <row r="179" spans="1:7" x14ac:dyDescent="0.2">
      <c r="A179" s="822" t="s">
        <v>661</v>
      </c>
      <c r="B179" s="908">
        <f>'10. Site'!B24</f>
        <v>1</v>
      </c>
      <c r="C179" s="804">
        <v>1</v>
      </c>
      <c r="D179" s="765" t="s">
        <v>199</v>
      </c>
      <c r="E179" s="765"/>
      <c r="F179" s="765"/>
      <c r="G179" s="851"/>
    </row>
    <row r="180" spans="1:7" x14ac:dyDescent="0.2">
      <c r="A180" s="822" t="s">
        <v>662</v>
      </c>
      <c r="B180" s="908">
        <f>'10. Site'!B25</f>
        <v>0</v>
      </c>
      <c r="C180" s="804">
        <v>1</v>
      </c>
      <c r="D180" s="765" t="s">
        <v>200</v>
      </c>
      <c r="E180" s="765"/>
      <c r="F180" s="765"/>
      <c r="G180" s="851"/>
    </row>
    <row r="181" spans="1:7" ht="16" x14ac:dyDescent="0.2">
      <c r="A181" s="777" t="s">
        <v>201</v>
      </c>
      <c r="B181" s="775"/>
      <c r="C181" s="775"/>
      <c r="D181" s="775"/>
      <c r="E181" s="775"/>
      <c r="F181" s="775"/>
      <c r="G181" s="848"/>
    </row>
    <row r="182" spans="1:7" x14ac:dyDescent="0.2">
      <c r="A182" s="796" t="s">
        <v>663</v>
      </c>
      <c r="B182" s="908">
        <f>'10. Site'!B28</f>
        <v>0</v>
      </c>
      <c r="C182" s="804">
        <v>2</v>
      </c>
      <c r="D182" s="765" t="s">
        <v>202</v>
      </c>
      <c r="E182" s="765"/>
      <c r="F182" s="765"/>
      <c r="G182" s="851"/>
    </row>
    <row r="183" spans="1:7" x14ac:dyDescent="0.2">
      <c r="A183" s="796" t="s">
        <v>664</v>
      </c>
      <c r="B183" s="908">
        <f>'10. Site'!B29</f>
        <v>0</v>
      </c>
      <c r="C183" s="804">
        <v>2</v>
      </c>
      <c r="D183" s="765" t="s">
        <v>203</v>
      </c>
      <c r="E183" s="765"/>
      <c r="F183" s="765"/>
      <c r="G183" s="851"/>
    </row>
    <row r="184" spans="1:7" x14ac:dyDescent="0.2">
      <c r="A184" s="796" t="s">
        <v>665</v>
      </c>
      <c r="B184" s="774">
        <f>'10. Site'!B30</f>
        <v>1</v>
      </c>
      <c r="C184" s="797" t="s">
        <v>41</v>
      </c>
      <c r="D184" s="765" t="s">
        <v>204</v>
      </c>
      <c r="E184" s="765"/>
      <c r="F184" s="765"/>
      <c r="G184" s="851"/>
    </row>
    <row r="185" spans="1:7" x14ac:dyDescent="0.2">
      <c r="A185" s="799"/>
      <c r="B185" s="765"/>
      <c r="C185" s="765"/>
      <c r="D185" s="765" t="s">
        <v>205</v>
      </c>
      <c r="E185" s="765"/>
      <c r="F185" s="765"/>
      <c r="G185" s="851"/>
    </row>
    <row r="186" spans="1:7" x14ac:dyDescent="0.2">
      <c r="A186" s="799"/>
      <c r="B186" s="765"/>
      <c r="C186" s="765"/>
      <c r="D186" s="908">
        <f>'10. Site'!D32</f>
        <v>0</v>
      </c>
      <c r="E186" s="765" t="s">
        <v>206</v>
      </c>
      <c r="F186" s="908">
        <f>'10. Site'!F32</f>
        <v>100</v>
      </c>
      <c r="G186" s="851" t="s">
        <v>207</v>
      </c>
    </row>
    <row r="187" spans="1:7" x14ac:dyDescent="0.2">
      <c r="A187" s="799"/>
      <c r="B187" s="765"/>
      <c r="C187" s="765"/>
      <c r="D187" s="908">
        <f>'10. Site'!D33</f>
        <v>0</v>
      </c>
      <c r="E187" s="765" t="s">
        <v>208</v>
      </c>
      <c r="F187" s="908">
        <f>'10. Site'!F33</f>
        <v>30</v>
      </c>
      <c r="G187" s="851" t="s">
        <v>209</v>
      </c>
    </row>
    <row r="188" spans="1:7" x14ac:dyDescent="0.2">
      <c r="A188" s="799"/>
      <c r="B188" s="765"/>
      <c r="C188" s="765"/>
      <c r="D188" s="908">
        <f>'10. Site'!D34</f>
        <v>0</v>
      </c>
      <c r="E188" s="765" t="s">
        <v>210</v>
      </c>
      <c r="F188" s="908">
        <f>'10. Site'!F34</f>
        <v>30</v>
      </c>
      <c r="G188" s="851" t="s">
        <v>211</v>
      </c>
    </row>
    <row r="189" spans="1:7" x14ac:dyDescent="0.2">
      <c r="A189" s="799"/>
      <c r="B189" s="765"/>
      <c r="C189" s="765"/>
      <c r="D189" s="774">
        <f>'10. Site'!D35</f>
        <v>1</v>
      </c>
      <c r="E189" s="765" t="s">
        <v>212</v>
      </c>
      <c r="F189" s="765"/>
      <c r="G189" s="851"/>
    </row>
    <row r="190" spans="1:7" x14ac:dyDescent="0.2">
      <c r="A190" s="799"/>
      <c r="B190" s="908">
        <f>'10. Site'!B36</f>
        <v>4</v>
      </c>
      <c r="C190" s="804">
        <v>34</v>
      </c>
      <c r="D190" s="760" t="s">
        <v>111</v>
      </c>
      <c r="E190" s="760"/>
      <c r="F190" s="760"/>
      <c r="G190" s="845"/>
    </row>
    <row r="191" spans="1:7" x14ac:dyDescent="0.2">
      <c r="A191" s="799"/>
      <c r="B191" s="765"/>
      <c r="C191" s="765"/>
      <c r="D191" s="765"/>
      <c r="E191" s="765"/>
      <c r="F191" s="765"/>
      <c r="G191" s="851"/>
    </row>
    <row r="192" spans="1:7" ht="19" x14ac:dyDescent="0.25">
      <c r="A192" s="799"/>
      <c r="B192" s="772">
        <f>'10. Site'!B38</f>
        <v>4</v>
      </c>
      <c r="C192" s="812" t="s">
        <v>213</v>
      </c>
      <c r="D192" s="812"/>
      <c r="E192" s="812"/>
      <c r="F192" s="812"/>
      <c r="G192" s="854"/>
    </row>
    <row r="193" spans="1:7" ht="16" thickBot="1" x14ac:dyDescent="0.25">
      <c r="A193" s="815" t="s">
        <v>214</v>
      </c>
      <c r="B193" s="789"/>
      <c r="C193" s="789"/>
      <c r="D193" s="1458">
        <f>'10. Site'!E40</f>
        <v>0</v>
      </c>
      <c r="E193" s="1458"/>
      <c r="F193" s="1458"/>
      <c r="G193" s="1459"/>
    </row>
    <row r="194" spans="1:7" ht="21" customHeight="1" x14ac:dyDescent="0.25">
      <c r="A194" s="780" t="s">
        <v>790</v>
      </c>
      <c r="B194" s="781"/>
      <c r="C194" s="781"/>
      <c r="D194" s="781"/>
      <c r="E194" s="781"/>
      <c r="F194" s="781"/>
      <c r="G194" s="883" t="str">
        <f>'1. Instructions'!B5</f>
        <v>Revised 4-5-2022</v>
      </c>
    </row>
    <row r="195" spans="1:7" ht="16" x14ac:dyDescent="0.2">
      <c r="A195" s="794" t="s">
        <v>338</v>
      </c>
      <c r="B195" s="904"/>
      <c r="C195" s="904"/>
      <c r="D195" s="904"/>
      <c r="E195" s="904"/>
      <c r="F195" s="904"/>
      <c r="G195" s="839"/>
    </row>
    <row r="196" spans="1:7" ht="16" x14ac:dyDescent="0.2">
      <c r="A196" s="777" t="s">
        <v>240</v>
      </c>
      <c r="B196" s="775"/>
      <c r="C196" s="775"/>
      <c r="D196" s="775"/>
      <c r="E196" s="775"/>
      <c r="F196" s="775"/>
      <c r="G196" s="848"/>
    </row>
    <row r="197" spans="1:7" x14ac:dyDescent="0.2">
      <c r="A197" s="822" t="s">
        <v>666</v>
      </c>
      <c r="B197" s="908">
        <f>'11. Health'!B5</f>
        <v>3</v>
      </c>
      <c r="C197" s="844">
        <v>3</v>
      </c>
      <c r="D197" s="842" t="s">
        <v>789</v>
      </c>
      <c r="E197" s="842"/>
      <c r="F197" s="842"/>
      <c r="G197" s="855"/>
    </row>
    <row r="198" spans="1:7" x14ac:dyDescent="0.2">
      <c r="A198" s="822" t="s">
        <v>667</v>
      </c>
      <c r="B198" s="908">
        <f>'11. Health'!B6</f>
        <v>0</v>
      </c>
      <c r="C198" s="804">
        <v>1</v>
      </c>
      <c r="D198" s="842" t="s">
        <v>578</v>
      </c>
      <c r="E198" s="842"/>
      <c r="F198" s="842"/>
      <c r="G198" s="855"/>
    </row>
    <row r="199" spans="1:7" x14ac:dyDescent="0.2">
      <c r="A199" s="822" t="s">
        <v>668</v>
      </c>
      <c r="B199" s="908">
        <f>'11. Health'!B7</f>
        <v>1</v>
      </c>
      <c r="C199" s="804">
        <v>1</v>
      </c>
      <c r="D199" s="760" t="s">
        <v>895</v>
      </c>
      <c r="E199" s="760"/>
      <c r="F199" s="760"/>
      <c r="G199" s="845"/>
    </row>
    <row r="200" spans="1:7" x14ac:dyDescent="0.2">
      <c r="A200" s="822" t="s">
        <v>669</v>
      </c>
      <c r="B200" s="908">
        <f>'11. Health'!B8</f>
        <v>2</v>
      </c>
      <c r="C200" s="797" t="s">
        <v>47</v>
      </c>
      <c r="D200" s="765" t="s">
        <v>244</v>
      </c>
      <c r="E200" s="765"/>
      <c r="F200" s="765"/>
      <c r="G200" s="851"/>
    </row>
    <row r="201" spans="1:7" x14ac:dyDescent="0.2">
      <c r="A201" s="799"/>
      <c r="B201" s="765"/>
      <c r="C201" s="765"/>
      <c r="D201" s="765" t="s">
        <v>245</v>
      </c>
      <c r="E201" s="765"/>
      <c r="F201" s="765" t="s">
        <v>246</v>
      </c>
      <c r="G201" s="851"/>
    </row>
    <row r="202" spans="1:7" x14ac:dyDescent="0.2">
      <c r="A202" s="799"/>
      <c r="B202" s="765"/>
      <c r="C202" s="765"/>
      <c r="D202" s="908" t="str">
        <f>'11. Health'!D10</f>
        <v>Yes</v>
      </c>
      <c r="E202" s="765" t="s">
        <v>247</v>
      </c>
      <c r="F202" s="908" t="str">
        <f>'11. Health'!F10</f>
        <v>Yes</v>
      </c>
      <c r="G202" s="851" t="s">
        <v>247</v>
      </c>
    </row>
    <row r="203" spans="1:7" x14ac:dyDescent="0.2">
      <c r="A203" s="799"/>
      <c r="B203" s="765"/>
      <c r="C203" s="765"/>
      <c r="D203" s="908">
        <f>'11. Health'!D11</f>
        <v>0</v>
      </c>
      <c r="E203" s="765" t="s">
        <v>248</v>
      </c>
      <c r="F203" s="908">
        <f>'11. Health'!F11</f>
        <v>0</v>
      </c>
      <c r="G203" s="851" t="s">
        <v>248</v>
      </c>
    </row>
    <row r="204" spans="1:7" x14ac:dyDescent="0.2">
      <c r="A204" s="799"/>
      <c r="B204" s="765"/>
      <c r="C204" s="765"/>
      <c r="D204" s="908">
        <f>'11. Health'!D12</f>
        <v>0</v>
      </c>
      <c r="E204" s="765" t="s">
        <v>249</v>
      </c>
      <c r="F204" s="908">
        <f>'11. Health'!F12</f>
        <v>0</v>
      </c>
      <c r="G204" s="851" t="s">
        <v>249</v>
      </c>
    </row>
    <row r="205" spans="1:7" x14ac:dyDescent="0.2">
      <c r="A205" s="799"/>
      <c r="B205" s="765"/>
      <c r="C205" s="765"/>
      <c r="D205" s="765"/>
      <c r="E205" s="765"/>
      <c r="F205" s="908">
        <f>'11. Health'!F13</f>
        <v>0</v>
      </c>
      <c r="G205" s="851" t="s">
        <v>250</v>
      </c>
    </row>
    <row r="206" spans="1:7" ht="16" x14ac:dyDescent="0.2">
      <c r="A206" s="777" t="s">
        <v>252</v>
      </c>
      <c r="B206" s="775"/>
      <c r="C206" s="775"/>
      <c r="D206" s="775"/>
      <c r="E206" s="775"/>
      <c r="F206" s="775"/>
      <c r="G206" s="848"/>
    </row>
    <row r="207" spans="1:7" x14ac:dyDescent="0.2">
      <c r="A207" s="822" t="s">
        <v>670</v>
      </c>
      <c r="B207" s="908">
        <f>'11. Health'!B16</f>
        <v>0</v>
      </c>
      <c r="C207" s="804">
        <v>1</v>
      </c>
      <c r="D207" s="765" t="s">
        <v>253</v>
      </c>
      <c r="E207" s="765"/>
      <c r="F207" s="765"/>
      <c r="G207" s="851"/>
    </row>
    <row r="208" spans="1:7" x14ac:dyDescent="0.2">
      <c r="A208" s="822" t="s">
        <v>671</v>
      </c>
      <c r="B208" s="908">
        <f>'11. Health'!B17</f>
        <v>0</v>
      </c>
      <c r="C208" s="804">
        <v>1</v>
      </c>
      <c r="D208" s="765" t="s">
        <v>254</v>
      </c>
      <c r="E208" s="765"/>
      <c r="F208" s="765"/>
      <c r="G208" s="851"/>
    </row>
    <row r="209" spans="1:7" x14ac:dyDescent="0.2">
      <c r="A209" s="822" t="s">
        <v>672</v>
      </c>
      <c r="B209" s="908">
        <f>'11. Health'!B18</f>
        <v>0</v>
      </c>
      <c r="C209" s="804">
        <v>1</v>
      </c>
      <c r="D209" s="765" t="s">
        <v>255</v>
      </c>
      <c r="E209" s="765"/>
      <c r="F209" s="765"/>
      <c r="G209" s="851"/>
    </row>
    <row r="210" spans="1:7" x14ac:dyDescent="0.2">
      <c r="A210" s="822" t="s">
        <v>673</v>
      </c>
      <c r="B210" s="908">
        <f>'11. Health'!B19</f>
        <v>1</v>
      </c>
      <c r="C210" s="804">
        <v>1</v>
      </c>
      <c r="D210" s="765" t="s">
        <v>256</v>
      </c>
      <c r="E210" s="765"/>
      <c r="F210" s="765"/>
      <c r="G210" s="851"/>
    </row>
    <row r="211" spans="1:7" x14ac:dyDescent="0.2">
      <c r="A211" s="822" t="s">
        <v>674</v>
      </c>
      <c r="B211" s="908">
        <f>'11. Health'!B20</f>
        <v>0</v>
      </c>
      <c r="C211" s="804">
        <v>1</v>
      </c>
      <c r="D211" s="765" t="s">
        <v>257</v>
      </c>
      <c r="E211" s="765"/>
      <c r="F211" s="765"/>
      <c r="G211" s="851"/>
    </row>
    <row r="212" spans="1:7" x14ac:dyDescent="0.2">
      <c r="A212" s="822" t="s">
        <v>675</v>
      </c>
      <c r="B212" s="908">
        <f>'11. Health'!B21</f>
        <v>0</v>
      </c>
      <c r="C212" s="804">
        <v>3</v>
      </c>
      <c r="D212" s="765" t="s">
        <v>258</v>
      </c>
      <c r="E212" s="765"/>
      <c r="F212" s="765"/>
      <c r="G212" s="851"/>
    </row>
    <row r="213" spans="1:7" x14ac:dyDescent="0.2">
      <c r="A213" s="822" t="s">
        <v>676</v>
      </c>
      <c r="B213" s="908">
        <f>'11. Health'!B22</f>
        <v>1</v>
      </c>
      <c r="C213" s="804">
        <v>1</v>
      </c>
      <c r="D213" s="765" t="s">
        <v>259</v>
      </c>
      <c r="E213" s="765"/>
      <c r="F213" s="765"/>
      <c r="G213" s="851"/>
    </row>
    <row r="214" spans="1:7" x14ac:dyDescent="0.2">
      <c r="A214" s="822" t="s">
        <v>966</v>
      </c>
      <c r="B214" s="908">
        <f>'11. Health'!B24</f>
        <v>0</v>
      </c>
      <c r="C214" s="804">
        <v>1</v>
      </c>
      <c r="D214" s="1697" t="s">
        <v>971</v>
      </c>
      <c r="E214" s="1698"/>
      <c r="F214" s="1698"/>
      <c r="G214" s="1699"/>
    </row>
    <row r="215" spans="1:7" ht="16" x14ac:dyDescent="0.2">
      <c r="A215" s="777" t="s">
        <v>470</v>
      </c>
      <c r="B215" s="775"/>
      <c r="C215" s="775"/>
      <c r="D215" s="775"/>
      <c r="E215" s="775"/>
      <c r="F215" s="775"/>
      <c r="G215" s="848"/>
    </row>
    <row r="216" spans="1:7" x14ac:dyDescent="0.2">
      <c r="A216" s="822" t="s">
        <v>677</v>
      </c>
      <c r="B216" s="908">
        <f>'11. Health'!B27</f>
        <v>1</v>
      </c>
      <c r="C216" s="804">
        <v>1</v>
      </c>
      <c r="D216" s="842" t="s">
        <v>563</v>
      </c>
      <c r="E216" s="842"/>
      <c r="F216" s="842"/>
      <c r="G216" s="855"/>
    </row>
    <row r="217" spans="1:7" x14ac:dyDescent="0.2">
      <c r="A217" s="822" t="s">
        <v>678</v>
      </c>
      <c r="B217" s="908" t="e">
        <f>'11. Health'!#REF!</f>
        <v>#REF!</v>
      </c>
      <c r="C217" s="804">
        <v>2</v>
      </c>
      <c r="D217" s="765" t="s">
        <v>262</v>
      </c>
      <c r="E217" s="765"/>
      <c r="F217" s="765"/>
      <c r="G217" s="851"/>
    </row>
    <row r="218" spans="1:7" x14ac:dyDescent="0.2">
      <c r="A218" s="822" t="s">
        <v>679</v>
      </c>
      <c r="B218" s="908">
        <f>'11. Health'!B28</f>
        <v>0</v>
      </c>
      <c r="C218" s="804">
        <v>1</v>
      </c>
      <c r="D218" s="765" t="s">
        <v>263</v>
      </c>
      <c r="E218" s="765"/>
      <c r="F218" s="765"/>
      <c r="G218" s="851"/>
    </row>
    <row r="219" spans="1:7" x14ac:dyDescent="0.2">
      <c r="A219" s="822" t="s">
        <v>680</v>
      </c>
      <c r="B219" s="908">
        <f>'11. Health'!B29</f>
        <v>1</v>
      </c>
      <c r="C219" s="804">
        <v>1</v>
      </c>
      <c r="D219" s="765" t="s">
        <v>264</v>
      </c>
      <c r="E219" s="765"/>
      <c r="F219" s="765"/>
      <c r="G219" s="851"/>
    </row>
    <row r="220" spans="1:7" x14ac:dyDescent="0.2">
      <c r="A220" s="822" t="s">
        <v>681</v>
      </c>
      <c r="B220" s="908">
        <f>'11. Health'!B30</f>
        <v>1</v>
      </c>
      <c r="C220" s="856" t="s">
        <v>564</v>
      </c>
      <c r="D220" s="760" t="s">
        <v>565</v>
      </c>
      <c r="E220" s="760"/>
      <c r="F220" s="760"/>
      <c r="G220" s="845"/>
    </row>
    <row r="221" spans="1:7" x14ac:dyDescent="0.2">
      <c r="A221" s="822" t="s">
        <v>682</v>
      </c>
      <c r="B221" s="908">
        <f>'11. Health'!B31</f>
        <v>0</v>
      </c>
      <c r="C221" s="804">
        <v>1</v>
      </c>
      <c r="D221" s="842" t="s">
        <v>451</v>
      </c>
      <c r="E221" s="842"/>
      <c r="F221" s="842"/>
      <c r="G221" s="855"/>
    </row>
    <row r="222" spans="1:7" x14ac:dyDescent="0.2">
      <c r="A222" s="822" t="s">
        <v>683</v>
      </c>
      <c r="B222" s="908">
        <f>'11. Health'!B32</f>
        <v>1</v>
      </c>
      <c r="C222" s="804">
        <v>1</v>
      </c>
      <c r="D222" s="765" t="s">
        <v>266</v>
      </c>
      <c r="E222" s="765"/>
      <c r="F222" s="765"/>
      <c r="G222" s="851"/>
    </row>
    <row r="223" spans="1:7" x14ac:dyDescent="0.2">
      <c r="A223" s="822" t="s">
        <v>684</v>
      </c>
      <c r="B223" s="908">
        <f>'11. Health'!B33</f>
        <v>1</v>
      </c>
      <c r="C223" s="856" t="s">
        <v>564</v>
      </c>
      <c r="D223" s="760" t="s">
        <v>755</v>
      </c>
      <c r="E223" s="760"/>
      <c r="F223" s="760"/>
      <c r="G223" s="845"/>
    </row>
    <row r="224" spans="1:7" x14ac:dyDescent="0.2">
      <c r="A224" s="822" t="s">
        <v>685</v>
      </c>
      <c r="B224" s="908">
        <f>'11. Health'!B35</f>
        <v>0</v>
      </c>
      <c r="C224" s="804">
        <v>3</v>
      </c>
      <c r="D224" s="798" t="s">
        <v>268</v>
      </c>
      <c r="E224" s="798"/>
      <c r="F224" s="798"/>
      <c r="G224" s="853"/>
    </row>
    <row r="225" spans="1:7" ht="16" x14ac:dyDescent="0.2">
      <c r="A225" s="777" t="s">
        <v>269</v>
      </c>
      <c r="B225" s="775"/>
      <c r="C225" s="775"/>
      <c r="D225" s="775"/>
      <c r="E225" s="775"/>
      <c r="F225" s="775"/>
      <c r="G225" s="848"/>
    </row>
    <row r="226" spans="1:7" x14ac:dyDescent="0.2">
      <c r="A226" s="796" t="s">
        <v>686</v>
      </c>
      <c r="B226" s="908">
        <f>'11. Health'!B38</f>
        <v>0</v>
      </c>
      <c r="C226" s="797" t="s">
        <v>270</v>
      </c>
      <c r="D226" s="765" t="s">
        <v>271</v>
      </c>
      <c r="E226" s="765"/>
      <c r="F226" s="765"/>
      <c r="G226" s="851"/>
    </row>
    <row r="227" spans="1:7" x14ac:dyDescent="0.2">
      <c r="A227" s="799"/>
      <c r="B227" s="765"/>
      <c r="C227" s="765"/>
      <c r="D227" s="908">
        <f>'11. Health'!D39</f>
        <v>0</v>
      </c>
      <c r="E227" s="765" t="s">
        <v>272</v>
      </c>
      <c r="F227" s="908">
        <f>'11. Health'!F39</f>
        <v>0</v>
      </c>
      <c r="G227" s="857" t="s">
        <v>273</v>
      </c>
    </row>
    <row r="228" spans="1:7" x14ac:dyDescent="0.2">
      <c r="A228" s="799"/>
      <c r="B228" s="765"/>
      <c r="C228" s="765"/>
      <c r="D228" s="768"/>
      <c r="E228" s="768"/>
      <c r="F228" s="908">
        <f>'11. Health'!F40</f>
        <v>0</v>
      </c>
      <c r="G228" s="858" t="s">
        <v>274</v>
      </c>
    </row>
    <row r="229" spans="1:7" x14ac:dyDescent="0.2">
      <c r="A229" s="822" t="s">
        <v>687</v>
      </c>
      <c r="B229" s="908">
        <f>'11. Health'!B41</f>
        <v>0</v>
      </c>
      <c r="C229" s="804">
        <v>1</v>
      </c>
      <c r="D229" s="765" t="s">
        <v>276</v>
      </c>
      <c r="E229" s="765"/>
      <c r="F229" s="765"/>
      <c r="G229" s="851"/>
    </row>
    <row r="230" spans="1:7" ht="16" x14ac:dyDescent="0.2">
      <c r="A230" s="777" t="s">
        <v>471</v>
      </c>
      <c r="B230" s="775"/>
      <c r="C230" s="775"/>
      <c r="D230" s="775"/>
      <c r="E230" s="775"/>
      <c r="F230" s="775"/>
      <c r="G230" s="848"/>
    </row>
    <row r="231" spans="1:7" x14ac:dyDescent="0.2">
      <c r="A231" s="822" t="s">
        <v>688</v>
      </c>
      <c r="B231" s="908">
        <f>'11. Health'!B44</f>
        <v>0</v>
      </c>
      <c r="C231" s="797" t="s">
        <v>280</v>
      </c>
      <c r="D231" s="765" t="s">
        <v>281</v>
      </c>
      <c r="E231" s="765"/>
      <c r="F231" s="765"/>
      <c r="G231" s="851"/>
    </row>
    <row r="232" spans="1:7" ht="16" x14ac:dyDescent="0.2">
      <c r="A232" s="777" t="s">
        <v>282</v>
      </c>
      <c r="B232" s="775"/>
      <c r="C232" s="775"/>
      <c r="D232" s="775"/>
      <c r="E232" s="775"/>
      <c r="F232" s="775"/>
      <c r="G232" s="848"/>
    </row>
    <row r="233" spans="1:7" x14ac:dyDescent="0.2">
      <c r="A233" s="822" t="s">
        <v>689</v>
      </c>
      <c r="B233" s="908">
        <f>'11. Health'!B47</f>
        <v>2</v>
      </c>
      <c r="C233" s="804" t="s">
        <v>922</v>
      </c>
      <c r="D233" s="798" t="s">
        <v>283</v>
      </c>
      <c r="E233" s="798"/>
      <c r="F233" s="798"/>
      <c r="G233" s="853"/>
    </row>
    <row r="234" spans="1:7" x14ac:dyDescent="0.2">
      <c r="A234" s="822" t="s">
        <v>690</v>
      </c>
      <c r="B234" s="908">
        <f>'11. Health'!B48</f>
        <v>0</v>
      </c>
      <c r="C234" s="804">
        <v>1</v>
      </c>
      <c r="D234" s="765" t="s">
        <v>284</v>
      </c>
      <c r="E234" s="765"/>
      <c r="F234" s="765"/>
      <c r="G234" s="851"/>
    </row>
    <row r="235" spans="1:7" x14ac:dyDescent="0.2">
      <c r="A235" s="822" t="s">
        <v>691</v>
      </c>
      <c r="B235" s="908">
        <f>'11. Health'!B49</f>
        <v>0</v>
      </c>
      <c r="C235" s="804">
        <v>1</v>
      </c>
      <c r="D235" s="765" t="s">
        <v>285</v>
      </c>
      <c r="E235" s="765"/>
      <c r="F235" s="765"/>
      <c r="G235" s="851"/>
    </row>
    <row r="236" spans="1:7" ht="17" x14ac:dyDescent="0.2">
      <c r="A236" s="822" t="s">
        <v>692</v>
      </c>
      <c r="B236" s="908">
        <f>'11. Health'!B50</f>
        <v>0</v>
      </c>
      <c r="C236" s="804">
        <v>1</v>
      </c>
      <c r="D236" s="842" t="s">
        <v>949</v>
      </c>
      <c r="E236" s="842"/>
      <c r="F236" s="842"/>
      <c r="G236" s="855"/>
    </row>
    <row r="237" spans="1:7" x14ac:dyDescent="0.2">
      <c r="A237" s="822" t="s">
        <v>693</v>
      </c>
      <c r="B237" s="908">
        <f>'11. Health'!B51</f>
        <v>1</v>
      </c>
      <c r="C237" s="804">
        <v>1</v>
      </c>
      <c r="D237" s="765" t="s">
        <v>286</v>
      </c>
      <c r="E237" s="765"/>
      <c r="F237" s="765"/>
      <c r="G237" s="851"/>
    </row>
    <row r="238" spans="1:7" x14ac:dyDescent="0.2">
      <c r="A238" s="822" t="s">
        <v>694</v>
      </c>
      <c r="B238" s="908">
        <f>'11. Health'!B52</f>
        <v>1</v>
      </c>
      <c r="C238" s="804">
        <v>1</v>
      </c>
      <c r="D238" s="842" t="s">
        <v>576</v>
      </c>
      <c r="E238" s="842"/>
      <c r="F238" s="842"/>
      <c r="G238" s="855"/>
    </row>
    <row r="239" spans="1:7" x14ac:dyDescent="0.2">
      <c r="A239" s="822" t="s">
        <v>695</v>
      </c>
      <c r="B239" s="908">
        <f>'11. Health'!B53</f>
        <v>0</v>
      </c>
      <c r="C239" s="804">
        <v>3</v>
      </c>
      <c r="D239" s="765" t="s">
        <v>288</v>
      </c>
      <c r="E239" s="765"/>
      <c r="F239" s="765"/>
      <c r="G239" s="851"/>
    </row>
    <row r="240" spans="1:7" x14ac:dyDescent="0.2">
      <c r="A240" s="822" t="s">
        <v>696</v>
      </c>
      <c r="B240" s="908">
        <f>'11. Health'!B54</f>
        <v>1</v>
      </c>
      <c r="C240" s="797" t="s">
        <v>47</v>
      </c>
      <c r="D240" s="842" t="s">
        <v>452</v>
      </c>
      <c r="E240" s="842"/>
      <c r="F240" s="842"/>
      <c r="G240" s="855"/>
    </row>
    <row r="241" spans="1:7" x14ac:dyDescent="0.2">
      <c r="A241" s="822" t="s">
        <v>697</v>
      </c>
      <c r="B241" s="908">
        <f>'11. Health'!B55</f>
        <v>1</v>
      </c>
      <c r="C241" s="804">
        <v>1</v>
      </c>
      <c r="D241" s="765" t="s">
        <v>289</v>
      </c>
      <c r="E241" s="765"/>
      <c r="F241" s="765"/>
      <c r="G241" s="851"/>
    </row>
    <row r="242" spans="1:7" x14ac:dyDescent="0.2">
      <c r="A242" s="822" t="s">
        <v>698</v>
      </c>
      <c r="B242" s="908">
        <f>'11. Health'!B56</f>
        <v>0</v>
      </c>
      <c r="C242" s="804">
        <v>1</v>
      </c>
      <c r="D242" s="842" t="s">
        <v>453</v>
      </c>
      <c r="E242" s="842"/>
      <c r="F242" s="842"/>
      <c r="G242" s="855"/>
    </row>
    <row r="243" spans="1:7" x14ac:dyDescent="0.2">
      <c r="A243" s="822" t="s">
        <v>699</v>
      </c>
      <c r="B243" s="908">
        <f>'11. Health'!B57</f>
        <v>1</v>
      </c>
      <c r="C243" s="804">
        <v>1</v>
      </c>
      <c r="D243" s="798" t="s">
        <v>928</v>
      </c>
      <c r="E243" s="798"/>
      <c r="F243" s="798"/>
      <c r="G243" s="853"/>
    </row>
    <row r="244" spans="1:7" x14ac:dyDescent="0.2">
      <c r="A244" s="859"/>
      <c r="B244" s="908">
        <f>'11. Health'!B58</f>
        <v>22</v>
      </c>
      <c r="C244" s="804">
        <v>52</v>
      </c>
      <c r="D244" s="760" t="s">
        <v>111</v>
      </c>
      <c r="E244" s="760"/>
      <c r="F244" s="760"/>
      <c r="G244" s="845"/>
    </row>
    <row r="245" spans="1:7" x14ac:dyDescent="0.2">
      <c r="A245" s="799"/>
      <c r="B245" s="765"/>
      <c r="C245" s="765"/>
      <c r="D245" s="765"/>
      <c r="E245" s="765"/>
      <c r="F245" s="765"/>
      <c r="G245" s="851"/>
    </row>
    <row r="246" spans="1:7" ht="19" x14ac:dyDescent="0.25">
      <c r="A246" s="799"/>
      <c r="B246" s="772">
        <f>'11. Health'!B60</f>
        <v>22</v>
      </c>
      <c r="C246" s="812" t="s">
        <v>294</v>
      </c>
      <c r="D246" s="812"/>
      <c r="E246" s="812"/>
      <c r="F246" s="812"/>
      <c r="G246" s="854"/>
    </row>
    <row r="247" spans="1:7" ht="16" thickBot="1" x14ac:dyDescent="0.25">
      <c r="A247" s="815" t="s">
        <v>295</v>
      </c>
      <c r="B247" s="789"/>
      <c r="C247" s="789"/>
      <c r="D247" s="1458">
        <f>'11. Health'!E62</f>
        <v>0</v>
      </c>
      <c r="E247" s="1458"/>
      <c r="F247" s="1458"/>
      <c r="G247" s="1459"/>
    </row>
    <row r="248" spans="1:7" ht="21" customHeight="1" x14ac:dyDescent="0.25">
      <c r="A248" s="780" t="s">
        <v>796</v>
      </c>
      <c r="B248" s="781"/>
      <c r="C248" s="781"/>
      <c r="D248" s="781"/>
      <c r="E248" s="781"/>
      <c r="F248" s="781"/>
      <c r="G248" s="883" t="str">
        <f>'1. Instructions'!B5</f>
        <v>Revised 4-5-2022</v>
      </c>
    </row>
    <row r="249" spans="1:7" ht="16" x14ac:dyDescent="0.2">
      <c r="A249" s="794" t="s">
        <v>341</v>
      </c>
      <c r="B249" s="904"/>
      <c r="C249" s="904"/>
      <c r="D249" s="904"/>
      <c r="E249" s="904"/>
      <c r="F249" s="904"/>
      <c r="G249" s="839"/>
    </row>
    <row r="250" spans="1:7" ht="16" x14ac:dyDescent="0.2">
      <c r="A250" s="777" t="s">
        <v>296</v>
      </c>
      <c r="B250" s="775"/>
      <c r="C250" s="775"/>
      <c r="D250" s="775"/>
      <c r="E250" s="775"/>
      <c r="F250" s="775"/>
      <c r="G250" s="848"/>
    </row>
    <row r="251" spans="1:7" x14ac:dyDescent="0.2">
      <c r="A251" s="822" t="s">
        <v>700</v>
      </c>
      <c r="B251" s="908">
        <f>'12. Materials'!B5</f>
        <v>0</v>
      </c>
      <c r="C251" s="804">
        <v>1</v>
      </c>
      <c r="D251" s="765" t="s">
        <v>297</v>
      </c>
      <c r="E251" s="765"/>
      <c r="F251" s="765"/>
      <c r="G251" s="851"/>
    </row>
    <row r="252" spans="1:7" x14ac:dyDescent="0.2">
      <c r="A252" s="822" t="s">
        <v>701</v>
      </c>
      <c r="B252" s="908">
        <f>'12. Materials'!B6</f>
        <v>0</v>
      </c>
      <c r="C252" s="797" t="s">
        <v>72</v>
      </c>
      <c r="D252" s="765" t="s">
        <v>301</v>
      </c>
      <c r="E252" s="765"/>
      <c r="F252" s="765"/>
      <c r="G252" s="851"/>
    </row>
    <row r="253" spans="1:7" x14ac:dyDescent="0.2">
      <c r="A253" s="799"/>
      <c r="B253" s="765"/>
      <c r="C253" s="765"/>
      <c r="D253" s="908">
        <f>'12. Materials'!D7</f>
        <v>0</v>
      </c>
      <c r="E253" s="800" t="s">
        <v>792</v>
      </c>
      <c r="F253" s="800"/>
      <c r="G253" s="852"/>
    </row>
    <row r="254" spans="1:7" x14ac:dyDescent="0.2">
      <c r="A254" s="799"/>
      <c r="B254" s="765"/>
      <c r="C254" s="765"/>
      <c r="D254" s="908">
        <f>'12. Materials'!D8</f>
        <v>0</v>
      </c>
      <c r="E254" s="800" t="s">
        <v>925</v>
      </c>
      <c r="F254" s="800"/>
      <c r="G254" s="852"/>
    </row>
    <row r="255" spans="1:7" x14ac:dyDescent="0.2">
      <c r="A255" s="822" t="s">
        <v>702</v>
      </c>
      <c r="B255" s="908">
        <f>'12. Materials'!B9</f>
        <v>0</v>
      </c>
      <c r="C255" s="804">
        <v>1</v>
      </c>
      <c r="D255" s="765" t="s">
        <v>302</v>
      </c>
      <c r="E255" s="765"/>
      <c r="F255" s="765"/>
      <c r="G255" s="851"/>
    </row>
    <row r="256" spans="1:7" x14ac:dyDescent="0.2">
      <c r="A256" s="822" t="s">
        <v>703</v>
      </c>
      <c r="B256" s="908">
        <f>'12. Materials'!B10</f>
        <v>0</v>
      </c>
      <c r="C256" s="804">
        <v>1</v>
      </c>
      <c r="D256" s="798" t="s">
        <v>303</v>
      </c>
      <c r="E256" s="798"/>
      <c r="F256" s="798"/>
      <c r="G256" s="853"/>
    </row>
    <row r="257" spans="1:7" x14ac:dyDescent="0.2">
      <c r="A257" s="822" t="s">
        <v>704</v>
      </c>
      <c r="B257" s="908">
        <f>'12. Materials'!B11</f>
        <v>0</v>
      </c>
      <c r="C257" s="804">
        <v>1</v>
      </c>
      <c r="D257" s="765" t="s">
        <v>304</v>
      </c>
      <c r="E257" s="765"/>
      <c r="F257" s="765"/>
      <c r="G257" s="851"/>
    </row>
    <row r="258" spans="1:7" x14ac:dyDescent="0.2">
      <c r="A258" s="822" t="s">
        <v>705</v>
      </c>
      <c r="B258" s="908">
        <f>'12. Materials'!B12</f>
        <v>0</v>
      </c>
      <c r="C258" s="804">
        <v>1</v>
      </c>
      <c r="D258" s="765" t="s">
        <v>305</v>
      </c>
      <c r="E258" s="765"/>
      <c r="F258" s="765"/>
      <c r="G258" s="851"/>
    </row>
    <row r="259" spans="1:7" x14ac:dyDescent="0.2">
      <c r="A259" s="822" t="s">
        <v>706</v>
      </c>
      <c r="B259" s="908">
        <f>'12. Materials'!B13</f>
        <v>0</v>
      </c>
      <c r="C259" s="804">
        <v>1</v>
      </c>
      <c r="D259" s="765" t="s">
        <v>306</v>
      </c>
      <c r="E259" s="765"/>
      <c r="F259" s="765"/>
      <c r="G259" s="851"/>
    </row>
    <row r="260" spans="1:7" x14ac:dyDescent="0.2">
      <c r="A260" s="822" t="s">
        <v>707</v>
      </c>
      <c r="B260" s="908">
        <f>'12. Materials'!B14</f>
        <v>0</v>
      </c>
      <c r="C260" s="804">
        <v>1</v>
      </c>
      <c r="D260" s="765" t="s">
        <v>307</v>
      </c>
      <c r="E260" s="765"/>
      <c r="F260" s="765"/>
      <c r="G260" s="851"/>
    </row>
    <row r="261" spans="1:7" x14ac:dyDescent="0.2">
      <c r="A261" s="822" t="s">
        <v>708</v>
      </c>
      <c r="B261" s="908">
        <f>'12. Materials'!B15</f>
        <v>0</v>
      </c>
      <c r="C261" s="804">
        <v>1</v>
      </c>
      <c r="D261" s="765" t="s">
        <v>311</v>
      </c>
      <c r="E261" s="765"/>
      <c r="F261" s="765"/>
      <c r="G261" s="851"/>
    </row>
    <row r="262" spans="1:7" x14ac:dyDescent="0.2">
      <c r="A262" s="822" t="s">
        <v>709</v>
      </c>
      <c r="B262" s="908">
        <f>'12. Materials'!B16</f>
        <v>0</v>
      </c>
      <c r="C262" s="804">
        <v>1</v>
      </c>
      <c r="D262" s="765" t="s">
        <v>312</v>
      </c>
      <c r="E262" s="765"/>
      <c r="F262" s="765"/>
      <c r="G262" s="851"/>
    </row>
    <row r="263" spans="1:7" x14ac:dyDescent="0.2">
      <c r="A263" s="822" t="s">
        <v>710</v>
      </c>
      <c r="B263" s="908">
        <f>'12. Materials'!B17</f>
        <v>0</v>
      </c>
      <c r="C263" s="804">
        <v>1</v>
      </c>
      <c r="D263" s="765" t="s">
        <v>313</v>
      </c>
      <c r="E263" s="765"/>
      <c r="F263" s="765"/>
      <c r="G263" s="851"/>
    </row>
    <row r="264" spans="1:7" x14ac:dyDescent="0.2">
      <c r="A264" s="822" t="s">
        <v>711</v>
      </c>
      <c r="B264" s="908">
        <f>'12. Materials'!B18</f>
        <v>1</v>
      </c>
      <c r="C264" s="860" t="s">
        <v>93</v>
      </c>
      <c r="D264" s="765" t="s">
        <v>314</v>
      </c>
      <c r="E264" s="765"/>
      <c r="F264" s="765"/>
      <c r="G264" s="851"/>
    </row>
    <row r="265" spans="1:7" x14ac:dyDescent="0.2">
      <c r="A265" s="799"/>
      <c r="B265" s="765"/>
      <c r="C265" s="765"/>
      <c r="D265" s="908">
        <f>'12. Materials'!D19</f>
        <v>0</v>
      </c>
      <c r="E265" s="800" t="s">
        <v>793</v>
      </c>
      <c r="F265" s="800"/>
      <c r="G265" s="852"/>
    </row>
    <row r="266" spans="1:7" x14ac:dyDescent="0.2">
      <c r="A266" s="799"/>
      <c r="B266" s="765"/>
      <c r="C266" s="765"/>
      <c r="D266" s="908">
        <f>'12. Materials'!D20</f>
        <v>0</v>
      </c>
      <c r="E266" s="800" t="s">
        <v>437</v>
      </c>
      <c r="F266" s="800"/>
      <c r="G266" s="852"/>
    </row>
    <row r="267" spans="1:7" x14ac:dyDescent="0.2">
      <c r="A267" s="799"/>
      <c r="B267" s="765"/>
      <c r="C267" s="765"/>
      <c r="D267" s="908" t="str">
        <f>'12. Materials'!D21</f>
        <v>Yes</v>
      </c>
      <c r="E267" s="760" t="s">
        <v>794</v>
      </c>
      <c r="F267" s="760"/>
      <c r="G267" s="845"/>
    </row>
    <row r="268" spans="1:7" x14ac:dyDescent="0.2">
      <c r="A268" s="799"/>
      <c r="B268" s="765"/>
      <c r="C268" s="765"/>
      <c r="D268" s="765"/>
      <c r="E268" s="765"/>
      <c r="F268" s="765"/>
      <c r="G268" s="851"/>
    </row>
    <row r="269" spans="1:7" ht="16" x14ac:dyDescent="0.2">
      <c r="A269" s="777" t="s">
        <v>315</v>
      </c>
      <c r="B269" s="775"/>
      <c r="C269" s="775"/>
      <c r="D269" s="775"/>
      <c r="E269" s="775"/>
      <c r="F269" s="775"/>
      <c r="G269" s="848"/>
    </row>
    <row r="270" spans="1:7" x14ac:dyDescent="0.2">
      <c r="A270" s="822" t="s">
        <v>712</v>
      </c>
      <c r="B270" s="908">
        <f>'12. Materials'!B25</f>
        <v>0</v>
      </c>
      <c r="C270" s="804">
        <v>3</v>
      </c>
      <c r="D270" s="842" t="s">
        <v>768</v>
      </c>
      <c r="E270" s="765"/>
      <c r="F270" s="765"/>
      <c r="G270" s="851"/>
    </row>
    <row r="271" spans="1:7" x14ac:dyDescent="0.2">
      <c r="A271" s="822" t="s">
        <v>713</v>
      </c>
      <c r="B271" s="908">
        <f>'12. Materials'!B26</f>
        <v>0</v>
      </c>
      <c r="C271" s="804">
        <v>2</v>
      </c>
      <c r="D271" s="798" t="s">
        <v>454</v>
      </c>
      <c r="E271" s="798"/>
      <c r="F271" s="798"/>
      <c r="G271" s="853"/>
    </row>
    <row r="272" spans="1:7" x14ac:dyDescent="0.2">
      <c r="A272" s="822" t="s">
        <v>714</v>
      </c>
      <c r="B272" s="908">
        <f>'12. Materials'!B27</f>
        <v>0</v>
      </c>
      <c r="C272" s="797" t="s">
        <v>317</v>
      </c>
      <c r="D272" s="765" t="s">
        <v>318</v>
      </c>
      <c r="E272" s="765"/>
      <c r="F272" s="765"/>
      <c r="G272" s="851"/>
    </row>
    <row r="273" spans="1:7" x14ac:dyDescent="0.2">
      <c r="A273" s="799"/>
      <c r="B273" s="765"/>
      <c r="C273" s="765"/>
      <c r="D273" s="908">
        <f>'12. Materials'!D28</f>
        <v>0</v>
      </c>
      <c r="E273" s="765" t="s">
        <v>319</v>
      </c>
      <c r="F273" s="765"/>
      <c r="G273" s="851"/>
    </row>
    <row r="274" spans="1:7" x14ac:dyDescent="0.2">
      <c r="A274" s="799"/>
      <c r="B274" s="765"/>
      <c r="C274" s="765"/>
      <c r="D274" s="1473">
        <f>'12. Materials'!D29</f>
        <v>0</v>
      </c>
      <c r="E274" s="1473"/>
      <c r="F274" s="842" t="s">
        <v>795</v>
      </c>
      <c r="G274" s="855"/>
    </row>
    <row r="275" spans="1:7" x14ac:dyDescent="0.2">
      <c r="A275" s="796" t="s">
        <v>715</v>
      </c>
      <c r="B275" s="908">
        <f>'12. Materials'!B30</f>
        <v>0</v>
      </c>
      <c r="C275" s="804">
        <v>1</v>
      </c>
      <c r="D275" s="842" t="s">
        <v>320</v>
      </c>
      <c r="E275" s="842"/>
      <c r="F275" s="842"/>
      <c r="G275" s="855"/>
    </row>
    <row r="276" spans="1:7" x14ac:dyDescent="0.2">
      <c r="A276" s="796" t="s">
        <v>716</v>
      </c>
      <c r="B276" s="908">
        <f>'12. Materials'!B31</f>
        <v>2</v>
      </c>
      <c r="C276" s="797" t="s">
        <v>47</v>
      </c>
      <c r="D276" s="842" t="s">
        <v>566</v>
      </c>
      <c r="E276" s="842"/>
      <c r="F276" s="842"/>
      <c r="G276" s="855"/>
    </row>
    <row r="277" spans="1:7" x14ac:dyDescent="0.2">
      <c r="A277" s="824"/>
      <c r="B277" s="764"/>
      <c r="C277" s="764"/>
      <c r="D277" s="908" t="str">
        <f>'12. Materials'!D32</f>
        <v>Yes</v>
      </c>
      <c r="E277" s="765" t="s">
        <v>299</v>
      </c>
      <c r="F277" s="908" t="str">
        <f>'12. Materials'!F32</f>
        <v>Yes</v>
      </c>
      <c r="G277" s="851" t="s">
        <v>300</v>
      </c>
    </row>
    <row r="278" spans="1:7" x14ac:dyDescent="0.2">
      <c r="A278" s="822" t="s">
        <v>717</v>
      </c>
      <c r="B278" s="908">
        <f>'12. Materials'!B33</f>
        <v>0</v>
      </c>
      <c r="C278" s="804">
        <v>1</v>
      </c>
      <c r="D278" s="765" t="s">
        <v>309</v>
      </c>
      <c r="E278" s="765"/>
      <c r="F278" s="765"/>
      <c r="G278" s="851"/>
    </row>
    <row r="279" spans="1:7" x14ac:dyDescent="0.2">
      <c r="A279" s="822" t="s">
        <v>718</v>
      </c>
      <c r="B279" s="908">
        <f>'12. Materials'!B34</f>
        <v>1</v>
      </c>
      <c r="C279" s="804">
        <v>1</v>
      </c>
      <c r="D279" s="765" t="s">
        <v>310</v>
      </c>
      <c r="E279" s="765"/>
      <c r="F279" s="765"/>
      <c r="G279" s="851"/>
    </row>
    <row r="280" spans="1:7" x14ac:dyDescent="0.2">
      <c r="A280" s="822" t="s">
        <v>719</v>
      </c>
      <c r="B280" s="908">
        <f>'12. Materials'!B35</f>
        <v>0</v>
      </c>
      <c r="C280" s="804">
        <v>1</v>
      </c>
      <c r="D280" s="765" t="s">
        <v>321</v>
      </c>
      <c r="E280" s="765"/>
      <c r="F280" s="765"/>
      <c r="G280" s="851"/>
    </row>
    <row r="281" spans="1:7" x14ac:dyDescent="0.2">
      <c r="A281" s="822" t="s">
        <v>720</v>
      </c>
      <c r="B281" s="908">
        <f>'12. Materials'!B36</f>
        <v>0</v>
      </c>
      <c r="C281" s="804">
        <v>1</v>
      </c>
      <c r="D281" s="765" t="s">
        <v>932</v>
      </c>
      <c r="E281" s="765"/>
      <c r="F281" s="765"/>
      <c r="G281" s="851"/>
    </row>
    <row r="282" spans="1:7" x14ac:dyDescent="0.2">
      <c r="A282" s="822" t="s">
        <v>721</v>
      </c>
      <c r="B282" s="908">
        <f>'12. Materials'!B37</f>
        <v>0</v>
      </c>
      <c r="C282" s="804">
        <v>1</v>
      </c>
      <c r="D282" s="765" t="s">
        <v>323</v>
      </c>
      <c r="E282" s="765"/>
      <c r="F282" s="765"/>
      <c r="G282" s="851"/>
    </row>
    <row r="283" spans="1:7" x14ac:dyDescent="0.2">
      <c r="A283" s="822" t="s">
        <v>722</v>
      </c>
      <c r="B283" s="908">
        <f>'12. Materials'!B38</f>
        <v>0</v>
      </c>
      <c r="C283" s="804">
        <v>1</v>
      </c>
      <c r="D283" s="765" t="s">
        <v>324</v>
      </c>
      <c r="E283" s="765"/>
      <c r="F283" s="765"/>
      <c r="G283" s="851"/>
    </row>
    <row r="284" spans="1:7" x14ac:dyDescent="0.2">
      <c r="A284" s="822" t="s">
        <v>723</v>
      </c>
      <c r="B284" s="908">
        <f>'12. Materials'!B39</f>
        <v>0</v>
      </c>
      <c r="C284" s="804">
        <v>1</v>
      </c>
      <c r="D284" s="765" t="s">
        <v>325</v>
      </c>
      <c r="E284" s="765"/>
      <c r="F284" s="765"/>
      <c r="G284" s="851"/>
    </row>
    <row r="285" spans="1:7" x14ac:dyDescent="0.2">
      <c r="A285" s="799"/>
      <c r="B285" s="765"/>
      <c r="C285" s="765"/>
      <c r="D285" s="765"/>
      <c r="E285" s="765"/>
      <c r="F285" s="765"/>
      <c r="G285" s="851"/>
    </row>
    <row r="286" spans="1:7" ht="16" x14ac:dyDescent="0.2">
      <c r="A286" s="777" t="s">
        <v>326</v>
      </c>
      <c r="B286" s="775"/>
      <c r="C286" s="775"/>
      <c r="D286" s="775"/>
      <c r="E286" s="775"/>
      <c r="F286" s="775"/>
      <c r="G286" s="848"/>
    </row>
    <row r="287" spans="1:7" x14ac:dyDescent="0.2">
      <c r="A287" s="796" t="s">
        <v>724</v>
      </c>
      <c r="B287" s="908">
        <f>'12. Materials'!B42</f>
        <v>1</v>
      </c>
      <c r="C287" s="804">
        <v>1</v>
      </c>
      <c r="D287" s="842" t="s">
        <v>950</v>
      </c>
      <c r="E287" s="842"/>
      <c r="F287" s="842"/>
      <c r="G287" s="855"/>
    </row>
    <row r="288" spans="1:7" x14ac:dyDescent="0.2">
      <c r="A288" s="796" t="s">
        <v>725</v>
      </c>
      <c r="B288" s="908">
        <f>'12. Materials'!B43</f>
        <v>1</v>
      </c>
      <c r="C288" s="804">
        <v>1</v>
      </c>
      <c r="D288" s="765" t="s">
        <v>327</v>
      </c>
      <c r="E288" s="765"/>
      <c r="F288" s="765"/>
      <c r="G288" s="851"/>
    </row>
    <row r="289" spans="1:7" x14ac:dyDescent="0.2">
      <c r="A289" s="796" t="s">
        <v>726</v>
      </c>
      <c r="B289" s="908">
        <f>'12. Materials'!B44</f>
        <v>0</v>
      </c>
      <c r="C289" s="804">
        <v>1</v>
      </c>
      <c r="D289" s="765" t="s">
        <v>328</v>
      </c>
      <c r="E289" s="765"/>
      <c r="F289" s="765"/>
      <c r="G289" s="851"/>
    </row>
    <row r="290" spans="1:7" x14ac:dyDescent="0.2">
      <c r="A290" s="796" t="s">
        <v>727</v>
      </c>
      <c r="B290" s="908">
        <f>'12. Materials'!B45</f>
        <v>0</v>
      </c>
      <c r="C290" s="804">
        <v>1</v>
      </c>
      <c r="D290" s="760" t="s">
        <v>567</v>
      </c>
      <c r="E290" s="760"/>
      <c r="F290" s="760"/>
      <c r="G290" s="845"/>
    </row>
    <row r="291" spans="1:7" x14ac:dyDescent="0.2">
      <c r="A291" s="796" t="s">
        <v>728</v>
      </c>
      <c r="B291" s="908">
        <f>'12. Materials'!B46</f>
        <v>0</v>
      </c>
      <c r="C291" s="804">
        <v>1</v>
      </c>
      <c r="D291" s="765" t="s">
        <v>330</v>
      </c>
      <c r="E291" s="765"/>
      <c r="F291" s="765"/>
      <c r="G291" s="851"/>
    </row>
    <row r="292" spans="1:7" x14ac:dyDescent="0.2">
      <c r="A292" s="796" t="s">
        <v>941</v>
      </c>
      <c r="B292" s="908">
        <f>'12. Materials'!B47</f>
        <v>0</v>
      </c>
      <c r="C292" s="804">
        <v>1</v>
      </c>
      <c r="D292" s="765" t="s">
        <v>332</v>
      </c>
      <c r="E292" s="765"/>
      <c r="F292" s="765"/>
      <c r="G292" s="851"/>
    </row>
    <row r="293" spans="1:7" x14ac:dyDescent="0.2">
      <c r="A293" s="796" t="s">
        <v>729</v>
      </c>
      <c r="B293" s="908">
        <f>'12. Materials'!B48</f>
        <v>0</v>
      </c>
      <c r="C293" s="804">
        <v>1</v>
      </c>
      <c r="D293" s="760" t="s">
        <v>515</v>
      </c>
      <c r="E293" s="760"/>
      <c r="F293" s="760"/>
      <c r="G293" s="845"/>
    </row>
    <row r="294" spans="1:7" x14ac:dyDescent="0.2">
      <c r="A294" s="796" t="s">
        <v>730</v>
      </c>
      <c r="B294" s="908">
        <f>'12. Materials'!B49</f>
        <v>1</v>
      </c>
      <c r="C294" s="804">
        <v>1</v>
      </c>
      <c r="D294" s="760" t="s">
        <v>568</v>
      </c>
      <c r="E294" s="760"/>
      <c r="F294" s="760"/>
      <c r="G294" s="845"/>
    </row>
    <row r="295" spans="1:7" x14ac:dyDescent="0.2">
      <c r="A295" s="796" t="s">
        <v>731</v>
      </c>
      <c r="B295" s="908">
        <f>'12. Materials'!B50</f>
        <v>0</v>
      </c>
      <c r="C295" s="804">
        <v>2</v>
      </c>
      <c r="D295" s="765" t="s">
        <v>333</v>
      </c>
      <c r="E295" s="765"/>
      <c r="F295" s="765"/>
      <c r="G295" s="851"/>
    </row>
    <row r="296" spans="1:7" x14ac:dyDescent="0.2">
      <c r="A296" s="796" t="s">
        <v>732</v>
      </c>
      <c r="B296" s="908">
        <f>'12. Materials'!B51</f>
        <v>1</v>
      </c>
      <c r="C296" s="804">
        <v>1</v>
      </c>
      <c r="D296" s="842" t="s">
        <v>456</v>
      </c>
      <c r="E296" s="842"/>
      <c r="F296" s="842"/>
      <c r="G296" s="855"/>
    </row>
    <row r="297" spans="1:7" x14ac:dyDescent="0.2">
      <c r="A297" s="796" t="s">
        <v>733</v>
      </c>
      <c r="B297" s="908">
        <f>'12. Materials'!B52</f>
        <v>0</v>
      </c>
      <c r="C297" s="804">
        <v>1</v>
      </c>
      <c r="D297" s="765" t="s">
        <v>335</v>
      </c>
      <c r="E297" s="765"/>
      <c r="F297" s="765"/>
      <c r="G297" s="851"/>
    </row>
    <row r="298" spans="1:7" x14ac:dyDescent="0.2">
      <c r="A298" s="799"/>
      <c r="B298" s="908">
        <f>'12. Materials'!B53</f>
        <v>8</v>
      </c>
      <c r="C298" s="804">
        <v>47</v>
      </c>
      <c r="D298" s="760" t="s">
        <v>111</v>
      </c>
      <c r="E298" s="760"/>
      <c r="F298" s="760"/>
      <c r="G298" s="845"/>
    </row>
    <row r="299" spans="1:7" x14ac:dyDescent="0.2">
      <c r="A299" s="799"/>
      <c r="B299" s="765"/>
      <c r="C299" s="765"/>
      <c r="D299" s="765"/>
      <c r="E299" s="765"/>
      <c r="F299" s="765"/>
      <c r="G299" s="851"/>
    </row>
    <row r="300" spans="1:7" ht="19" x14ac:dyDescent="0.25">
      <c r="A300" s="799"/>
      <c r="B300" s="772">
        <f>'12. Materials'!B55</f>
        <v>8</v>
      </c>
      <c r="C300" s="812" t="s">
        <v>336</v>
      </c>
      <c r="D300" s="812"/>
      <c r="E300" s="812"/>
      <c r="F300" s="812"/>
      <c r="G300" s="854"/>
    </row>
    <row r="301" spans="1:7" ht="16" thickBot="1" x14ac:dyDescent="0.25">
      <c r="A301" s="815" t="s">
        <v>337</v>
      </c>
      <c r="B301" s="789"/>
      <c r="C301" s="789"/>
      <c r="D301" s="1458">
        <f>'12. Materials'!E57</f>
        <v>0</v>
      </c>
      <c r="E301" s="1458"/>
      <c r="F301" s="1458"/>
      <c r="G301" s="1459"/>
    </row>
    <row r="302" spans="1:7" ht="21" customHeight="1" x14ac:dyDescent="0.25">
      <c r="A302" s="780" t="s">
        <v>801</v>
      </c>
      <c r="B302" s="781"/>
      <c r="C302" s="781"/>
      <c r="D302" s="781"/>
      <c r="E302" s="781"/>
      <c r="F302" s="781"/>
      <c r="G302" s="883" t="str">
        <f>'1. Instructions'!B5</f>
        <v>Revised 4-5-2022</v>
      </c>
    </row>
    <row r="303" spans="1:7" ht="16" x14ac:dyDescent="0.2">
      <c r="A303" s="794" t="s">
        <v>222</v>
      </c>
      <c r="B303" s="904"/>
      <c r="C303" s="904"/>
      <c r="D303" s="904"/>
      <c r="E303" s="904"/>
      <c r="F303" s="904"/>
      <c r="G303" s="785"/>
    </row>
    <row r="304" spans="1:7" ht="16" x14ac:dyDescent="0.2">
      <c r="A304" s="777" t="s">
        <v>342</v>
      </c>
      <c r="B304" s="775"/>
      <c r="C304" s="775"/>
      <c r="D304" s="775"/>
      <c r="E304" s="775"/>
      <c r="F304" s="795"/>
      <c r="G304" s="785"/>
    </row>
    <row r="305" spans="1:7" x14ac:dyDescent="0.2">
      <c r="A305" s="796" t="s">
        <v>735</v>
      </c>
      <c r="B305" s="908">
        <f>'13. Disaster Mitigation'!B5</f>
        <v>0</v>
      </c>
      <c r="C305" s="804">
        <v>2</v>
      </c>
      <c r="D305" s="765" t="s">
        <v>343</v>
      </c>
      <c r="E305" s="765"/>
      <c r="F305" s="762"/>
      <c r="G305" s="785"/>
    </row>
    <row r="306" spans="1:7" x14ac:dyDescent="0.2">
      <c r="A306" s="796" t="s">
        <v>736</v>
      </c>
      <c r="B306" s="908">
        <f>'13. Disaster Mitigation'!B6</f>
        <v>0</v>
      </c>
      <c r="C306" s="804">
        <v>2</v>
      </c>
      <c r="D306" s="765" t="s">
        <v>436</v>
      </c>
      <c r="E306" s="765"/>
      <c r="F306" s="762"/>
      <c r="G306" s="785"/>
    </row>
    <row r="307" spans="1:7" x14ac:dyDescent="0.2">
      <c r="A307" s="796" t="s">
        <v>737</v>
      </c>
      <c r="B307" s="908">
        <f>'13. Disaster Mitigation'!B7</f>
        <v>2</v>
      </c>
      <c r="C307" s="804">
        <v>2</v>
      </c>
      <c r="D307" s="765" t="s">
        <v>457</v>
      </c>
      <c r="E307" s="765"/>
      <c r="F307" s="762"/>
      <c r="G307" s="785"/>
    </row>
    <row r="308" spans="1:7" x14ac:dyDescent="0.2">
      <c r="A308" s="796" t="s">
        <v>738</v>
      </c>
      <c r="B308" s="908">
        <f>'13. Disaster Mitigation'!B8</f>
        <v>0</v>
      </c>
      <c r="C308" s="804">
        <v>1</v>
      </c>
      <c r="D308" s="765" t="s">
        <v>519</v>
      </c>
      <c r="E308" s="765"/>
      <c r="F308" s="762"/>
      <c r="G308" s="785"/>
    </row>
    <row r="309" spans="1:7" x14ac:dyDescent="0.2">
      <c r="A309" s="796" t="s">
        <v>739</v>
      </c>
      <c r="B309" s="908">
        <f>'13. Disaster Mitigation'!B9</f>
        <v>1</v>
      </c>
      <c r="C309" s="804">
        <v>1</v>
      </c>
      <c r="D309" s="760" t="s">
        <v>569</v>
      </c>
      <c r="E309" s="760"/>
      <c r="F309" s="762"/>
      <c r="G309" s="785"/>
    </row>
    <row r="310" spans="1:7" x14ac:dyDescent="0.2">
      <c r="A310" s="796" t="s">
        <v>740</v>
      </c>
      <c r="B310" s="908">
        <f>'13. Disaster Mitigation'!B10</f>
        <v>0</v>
      </c>
      <c r="C310" s="804">
        <v>2</v>
      </c>
      <c r="D310" s="765" t="s">
        <v>345</v>
      </c>
      <c r="E310" s="765"/>
      <c r="F310" s="762"/>
      <c r="G310" s="785"/>
    </row>
    <row r="311" spans="1:7" x14ac:dyDescent="0.2">
      <c r="A311" s="796" t="s">
        <v>741</v>
      </c>
      <c r="B311" s="908">
        <f>'13. Disaster Mitigation'!B11</f>
        <v>0</v>
      </c>
      <c r="C311" s="804">
        <v>2</v>
      </c>
      <c r="D311" s="765" t="s">
        <v>346</v>
      </c>
      <c r="E311" s="765"/>
      <c r="F311" s="762"/>
      <c r="G311" s="785"/>
    </row>
    <row r="312" spans="1:7" x14ac:dyDescent="0.2">
      <c r="A312" s="796" t="s">
        <v>742</v>
      </c>
      <c r="B312" s="908">
        <f>'13. Disaster Mitigation'!B14</f>
        <v>0</v>
      </c>
      <c r="C312" s="804">
        <v>5</v>
      </c>
      <c r="D312" s="831" t="s">
        <v>757</v>
      </c>
      <c r="E312" s="831"/>
      <c r="F312" s="762"/>
      <c r="G312" s="785"/>
    </row>
    <row r="313" spans="1:7" ht="16" x14ac:dyDescent="0.2">
      <c r="A313" s="777" t="s">
        <v>818</v>
      </c>
      <c r="B313" s="775"/>
      <c r="C313" s="775"/>
      <c r="D313" s="775"/>
      <c r="E313" s="775"/>
      <c r="F313" s="795"/>
      <c r="G313" s="785"/>
    </row>
    <row r="314" spans="1:7" x14ac:dyDescent="0.2">
      <c r="A314" s="796" t="s">
        <v>747</v>
      </c>
      <c r="B314" s="908">
        <f>'13. Disaster Mitigation'!B17</f>
        <v>0</v>
      </c>
      <c r="C314" s="804">
        <v>3</v>
      </c>
      <c r="D314" s="908">
        <f>'13. Disaster Mitigation'!D17</f>
        <v>0</v>
      </c>
      <c r="E314" s="765" t="s">
        <v>349</v>
      </c>
      <c r="F314" s="762"/>
      <c r="G314" s="785"/>
    </row>
    <row r="315" spans="1:7" x14ac:dyDescent="0.2">
      <c r="A315" s="799"/>
      <c r="B315" s="765"/>
      <c r="C315" s="765"/>
      <c r="D315" s="908">
        <f>'13. Disaster Mitigation'!D18</f>
        <v>0</v>
      </c>
      <c r="E315" s="765" t="s">
        <v>350</v>
      </c>
      <c r="F315" s="762"/>
      <c r="G315" s="785"/>
    </row>
    <row r="316" spans="1:7" x14ac:dyDescent="0.2">
      <c r="A316" s="799"/>
      <c r="B316" s="765"/>
      <c r="C316" s="765"/>
      <c r="D316" s="908">
        <f>'13. Disaster Mitigation'!D19</f>
        <v>0</v>
      </c>
      <c r="E316" s="760" t="s">
        <v>758</v>
      </c>
      <c r="F316" s="762"/>
      <c r="G316" s="785"/>
    </row>
    <row r="317" spans="1:7" ht="16" x14ac:dyDescent="0.2">
      <c r="A317" s="777" t="s">
        <v>935</v>
      </c>
      <c r="B317" s="775"/>
      <c r="C317" s="775"/>
      <c r="D317" s="775"/>
      <c r="E317" s="775"/>
      <c r="F317" s="795"/>
      <c r="G317" s="785"/>
    </row>
    <row r="318" spans="1:7" x14ac:dyDescent="0.2">
      <c r="A318" s="796" t="s">
        <v>913</v>
      </c>
      <c r="B318" s="908">
        <f>'13. Disaster Mitigation'!B22</f>
        <v>0</v>
      </c>
      <c r="C318" s="804">
        <v>3</v>
      </c>
      <c r="D318" s="908">
        <f>'13. Disaster Mitigation'!D22</f>
        <v>0</v>
      </c>
      <c r="E318" s="765" t="s">
        <v>352</v>
      </c>
      <c r="F318" s="762"/>
      <c r="G318" s="785"/>
    </row>
    <row r="319" spans="1:7" x14ac:dyDescent="0.2">
      <c r="A319" s="799"/>
      <c r="B319" s="765"/>
      <c r="C319" s="765"/>
      <c r="D319" s="908">
        <f>'13. Disaster Mitigation'!D23</f>
        <v>0</v>
      </c>
      <c r="E319" s="765" t="s">
        <v>353</v>
      </c>
      <c r="F319" s="762"/>
      <c r="G319" s="785"/>
    </row>
    <row r="320" spans="1:7" x14ac:dyDescent="0.2">
      <c r="A320" s="799"/>
      <c r="B320" s="765"/>
      <c r="C320" s="765"/>
      <c r="D320" s="908">
        <f>'13. Disaster Mitigation'!D24</f>
        <v>0</v>
      </c>
      <c r="E320" s="765" t="s">
        <v>354</v>
      </c>
      <c r="F320" s="762"/>
      <c r="G320" s="785"/>
    </row>
    <row r="321" spans="1:20" x14ac:dyDescent="0.2">
      <c r="A321" s="876" t="s">
        <v>914</v>
      </c>
      <c r="B321" s="908">
        <v>0</v>
      </c>
      <c r="C321" s="869">
        <v>3</v>
      </c>
      <c r="D321" s="750" t="s">
        <v>75</v>
      </c>
      <c r="E321" s="766" t="s">
        <v>915</v>
      </c>
      <c r="F321" s="762"/>
    </row>
    <row r="322" spans="1:20" ht="16" x14ac:dyDescent="0.2">
      <c r="A322" s="777" t="s">
        <v>769</v>
      </c>
      <c r="B322" s="775"/>
      <c r="C322" s="775"/>
      <c r="D322" s="775"/>
      <c r="E322" s="775"/>
      <c r="F322" s="795"/>
      <c r="G322" s="785"/>
    </row>
    <row r="323" spans="1:20" x14ac:dyDescent="0.2">
      <c r="A323" s="796" t="s">
        <v>746</v>
      </c>
      <c r="B323" s="908">
        <f>'13. Disaster Mitigation'!B28</f>
        <v>0</v>
      </c>
      <c r="C323" s="823" t="s">
        <v>47</v>
      </c>
      <c r="D323" s="760" t="s">
        <v>770</v>
      </c>
      <c r="E323" s="760"/>
      <c r="F323" s="762"/>
      <c r="G323" s="785"/>
    </row>
    <row r="324" spans="1:20" ht="16" x14ac:dyDescent="0.2">
      <c r="A324" s="777" t="s">
        <v>819</v>
      </c>
      <c r="B324" s="775"/>
      <c r="C324" s="775"/>
      <c r="D324" s="775"/>
      <c r="E324" s="775"/>
      <c r="F324" s="795"/>
      <c r="G324" s="785"/>
    </row>
    <row r="325" spans="1:20" x14ac:dyDescent="0.2">
      <c r="A325" s="799"/>
      <c r="B325" s="861" t="s">
        <v>514</v>
      </c>
      <c r="C325" s="765" t="s">
        <v>355</v>
      </c>
      <c r="D325" s="765"/>
      <c r="E325" s="765"/>
      <c r="F325" s="762"/>
      <c r="G325" s="785"/>
    </row>
    <row r="326" spans="1:20" x14ac:dyDescent="0.2">
      <c r="A326" s="799"/>
      <c r="B326" s="861" t="s">
        <v>514</v>
      </c>
      <c r="C326" s="765" t="s">
        <v>356</v>
      </c>
      <c r="D326" s="765"/>
      <c r="E326" s="765"/>
      <c r="F326" s="762"/>
      <c r="G326" s="785"/>
    </row>
    <row r="327" spans="1:20" x14ac:dyDescent="0.2">
      <c r="A327" s="799"/>
      <c r="B327" s="861" t="s">
        <v>514</v>
      </c>
      <c r="C327" s="765" t="s">
        <v>357</v>
      </c>
      <c r="D327" s="765"/>
      <c r="E327" s="765"/>
      <c r="F327" s="762"/>
      <c r="G327" s="785"/>
    </row>
    <row r="328" spans="1:20" x14ac:dyDescent="0.2">
      <c r="A328" s="796" t="s">
        <v>797</v>
      </c>
      <c r="B328" s="770">
        <f>'13. Disaster Mitigation'!B34</f>
        <v>0</v>
      </c>
      <c r="C328" s="804">
        <v>10</v>
      </c>
      <c r="D328" s="874" t="s">
        <v>743</v>
      </c>
      <c r="E328" s="862"/>
      <c r="F328" s="762"/>
      <c r="G328" s="785"/>
    </row>
    <row r="329" spans="1:20" x14ac:dyDescent="0.2">
      <c r="A329" s="799"/>
      <c r="B329" s="765"/>
      <c r="C329" s="765"/>
      <c r="D329" s="908">
        <f>'13. Disaster Mitigation'!D35</f>
        <v>0</v>
      </c>
      <c r="E329" s="765" t="s">
        <v>358</v>
      </c>
      <c r="F329" s="762"/>
      <c r="G329" s="785"/>
    </row>
    <row r="330" spans="1:20" x14ac:dyDescent="0.2">
      <c r="A330" s="799"/>
      <c r="B330" s="765"/>
      <c r="C330" s="765"/>
      <c r="D330" s="908">
        <f>'13. Disaster Mitigation'!D36</f>
        <v>0</v>
      </c>
      <c r="E330" s="765" t="s">
        <v>929</v>
      </c>
      <c r="F330" s="762"/>
      <c r="G330" s="875"/>
      <c r="H330" s="452"/>
      <c r="I330" s="452"/>
      <c r="J330" s="452"/>
      <c r="K330" s="452"/>
      <c r="L330" s="452"/>
      <c r="M330" s="452"/>
      <c r="N330" s="452"/>
      <c r="O330" s="452"/>
      <c r="P330" s="452"/>
      <c r="Q330" s="452"/>
      <c r="R330" s="452"/>
      <c r="S330" s="452"/>
      <c r="T330" s="452"/>
    </row>
    <row r="331" spans="1:20" x14ac:dyDescent="0.2">
      <c r="A331" s="799"/>
      <c r="B331" s="765"/>
      <c r="C331" s="765"/>
      <c r="D331" s="908">
        <f>'13. Disaster Mitigation'!D37</f>
        <v>0</v>
      </c>
      <c r="E331" s="760" t="s">
        <v>800</v>
      </c>
      <c r="F331" s="762"/>
      <c r="G331" s="785"/>
      <c r="H331" s="452"/>
      <c r="I331" s="452"/>
      <c r="J331" s="452"/>
      <c r="K331" s="452"/>
      <c r="L331" s="452"/>
      <c r="M331" s="452"/>
      <c r="N331" s="452"/>
      <c r="O331" s="452"/>
      <c r="P331" s="452"/>
      <c r="Q331" s="452"/>
      <c r="R331" s="452"/>
      <c r="S331" s="452"/>
      <c r="T331" s="452"/>
    </row>
    <row r="332" spans="1:20" x14ac:dyDescent="0.2">
      <c r="A332" s="799"/>
      <c r="B332" s="765"/>
      <c r="C332" s="765"/>
      <c r="D332" s="908">
        <f>'13. Disaster Mitigation'!D38</f>
        <v>0</v>
      </c>
      <c r="E332" s="765" t="s">
        <v>360</v>
      </c>
      <c r="F332" s="762"/>
      <c r="G332" s="785"/>
    </row>
    <row r="333" spans="1:20" x14ac:dyDescent="0.2">
      <c r="A333" s="799"/>
      <c r="B333" s="765"/>
      <c r="C333" s="765"/>
      <c r="D333" s="908">
        <f>'13. Disaster Mitigation'!D39</f>
        <v>0</v>
      </c>
      <c r="E333" s="765" t="s">
        <v>361</v>
      </c>
      <c r="F333" s="762"/>
      <c r="G333" s="785"/>
    </row>
    <row r="334" spans="1:20" x14ac:dyDescent="0.2">
      <c r="A334" s="824"/>
      <c r="B334" s="863" t="s">
        <v>365</v>
      </c>
      <c r="C334" s="864"/>
      <c r="D334" s="765"/>
      <c r="E334" s="765"/>
      <c r="F334" s="762"/>
      <c r="G334" s="785"/>
    </row>
    <row r="335" spans="1:20" x14ac:dyDescent="0.2">
      <c r="A335" s="796" t="s">
        <v>798</v>
      </c>
      <c r="B335" s="865"/>
      <c r="C335" s="804">
        <v>10</v>
      </c>
      <c r="D335" s="874" t="s">
        <v>744</v>
      </c>
      <c r="E335" s="874"/>
      <c r="F335" s="762"/>
      <c r="G335" s="785"/>
    </row>
    <row r="336" spans="1:20" x14ac:dyDescent="0.2">
      <c r="A336" s="799"/>
      <c r="B336" s="765"/>
      <c r="C336" s="765"/>
      <c r="D336" s="908">
        <f>'13. Disaster Mitigation'!D42</f>
        <v>0</v>
      </c>
      <c r="E336" s="760" t="s">
        <v>362</v>
      </c>
      <c r="F336" s="762"/>
      <c r="G336" s="785"/>
    </row>
    <row r="337" spans="1:7" x14ac:dyDescent="0.2">
      <c r="A337" s="799"/>
      <c r="B337" s="765"/>
      <c r="C337" s="765"/>
      <c r="D337" s="908">
        <f>'13. Disaster Mitigation'!D43</f>
        <v>0</v>
      </c>
      <c r="E337" s="760" t="s">
        <v>461</v>
      </c>
      <c r="F337" s="762"/>
      <c r="G337" s="785"/>
    </row>
    <row r="338" spans="1:7" x14ac:dyDescent="0.2">
      <c r="A338" s="824"/>
      <c r="B338" s="863" t="s">
        <v>365</v>
      </c>
      <c r="C338" s="864"/>
      <c r="D338" s="867"/>
      <c r="E338" s="867"/>
      <c r="F338" s="762"/>
      <c r="G338" s="785"/>
    </row>
    <row r="339" spans="1:7" x14ac:dyDescent="0.2">
      <c r="A339" s="796" t="s">
        <v>799</v>
      </c>
      <c r="B339" s="865"/>
      <c r="C339" s="805">
        <v>12</v>
      </c>
      <c r="D339" s="874" t="s">
        <v>745</v>
      </c>
      <c r="E339" s="874"/>
      <c r="F339" s="762"/>
      <c r="G339" s="785"/>
    </row>
    <row r="340" spans="1:7" x14ac:dyDescent="0.2">
      <c r="A340" s="765"/>
      <c r="B340" s="765"/>
      <c r="C340" s="765"/>
      <c r="D340" s="908">
        <f>'13. Disaster Mitigation'!D46</f>
        <v>0</v>
      </c>
      <c r="E340" s="760" t="s">
        <v>503</v>
      </c>
      <c r="F340" s="762"/>
      <c r="G340" s="785"/>
    </row>
    <row r="341" spans="1:7" x14ac:dyDescent="0.2">
      <c r="A341" s="876" t="s">
        <v>926</v>
      </c>
      <c r="B341" s="770">
        <f>'13. Disaster Mitigation'!B47</f>
        <v>0</v>
      </c>
      <c r="C341" s="869">
        <v>1</v>
      </c>
      <c r="D341" s="872" t="s">
        <v>927</v>
      </c>
      <c r="E341" s="872"/>
      <c r="F341" s="762"/>
      <c r="G341" s="785"/>
    </row>
    <row r="342" spans="1:7" x14ac:dyDescent="0.2">
      <c r="A342" s="765"/>
      <c r="B342" s="908">
        <f>'13. Disaster Mitigation'!B56</f>
        <v>5</v>
      </c>
      <c r="C342" s="804">
        <v>38</v>
      </c>
      <c r="D342" s="868" t="s">
        <v>111</v>
      </c>
      <c r="E342" s="871"/>
      <c r="F342" s="760"/>
      <c r="G342" s="785"/>
    </row>
    <row r="343" spans="1:7" x14ac:dyDescent="0.2">
      <c r="A343" s="799"/>
      <c r="B343" s="765"/>
      <c r="C343" s="765"/>
      <c r="D343" s="765"/>
      <c r="E343" s="765"/>
      <c r="F343" s="760"/>
      <c r="G343" s="785"/>
    </row>
    <row r="344" spans="1:7" ht="19" x14ac:dyDescent="0.25">
      <c r="A344" s="799"/>
      <c r="B344" s="772">
        <f>'13. Disaster Mitigation'!B58</f>
        <v>5</v>
      </c>
      <c r="C344" s="812" t="s">
        <v>363</v>
      </c>
      <c r="D344" s="812"/>
      <c r="E344" s="812"/>
      <c r="F344" s="760"/>
      <c r="G344" s="785"/>
    </row>
    <row r="345" spans="1:7" ht="16" thickBot="1" x14ac:dyDescent="0.25">
      <c r="A345" s="815" t="s">
        <v>364</v>
      </c>
      <c r="B345" s="789"/>
      <c r="C345" s="789"/>
      <c r="D345" s="1458">
        <f>'13. Disaster Mitigation'!E60</f>
        <v>0</v>
      </c>
      <c r="E345" s="1458"/>
      <c r="F345" s="1458"/>
      <c r="G345" s="1459"/>
    </row>
    <row r="346" spans="1:7" ht="21" customHeight="1" x14ac:dyDescent="0.25">
      <c r="A346" s="780" t="s">
        <v>803</v>
      </c>
      <c r="B346" s="781"/>
      <c r="C346" s="781"/>
      <c r="D346" s="781"/>
      <c r="E346" s="781"/>
      <c r="F346" s="781"/>
      <c r="G346" s="883" t="str">
        <f>'1. Instructions'!B5</f>
        <v>Revised 4-5-2022</v>
      </c>
    </row>
    <row r="347" spans="1:7" ht="16" x14ac:dyDescent="0.2">
      <c r="A347" s="794" t="s">
        <v>392</v>
      </c>
      <c r="B347" s="904"/>
      <c r="C347" s="904"/>
      <c r="D347" s="904"/>
      <c r="E347" s="904"/>
      <c r="F347" s="904"/>
      <c r="G347" s="785"/>
    </row>
    <row r="348" spans="1:7" ht="16" x14ac:dyDescent="0.2">
      <c r="A348" s="777" t="s">
        <v>366</v>
      </c>
      <c r="B348" s="775"/>
      <c r="C348" s="775"/>
      <c r="D348" s="775"/>
      <c r="E348" s="775"/>
      <c r="F348" s="795"/>
      <c r="G348" s="785"/>
    </row>
    <row r="349" spans="1:7" x14ac:dyDescent="0.2">
      <c r="A349" s="822" t="s">
        <v>802</v>
      </c>
      <c r="B349" s="908">
        <f>'14. General'!B5</f>
        <v>0</v>
      </c>
      <c r="C349" s="804" t="s">
        <v>967</v>
      </c>
      <c r="D349" s="765" t="s">
        <v>368</v>
      </c>
      <c r="E349" s="765"/>
      <c r="F349" s="762"/>
      <c r="G349" s="785"/>
    </row>
    <row r="350" spans="1:7" x14ac:dyDescent="0.2">
      <c r="A350" s="824"/>
      <c r="B350" s="764"/>
      <c r="C350" s="804"/>
      <c r="D350" s="829">
        <f>'14. General'!D6</f>
        <v>0</v>
      </c>
      <c r="E350" s="765" t="s">
        <v>369</v>
      </c>
      <c r="F350" s="762"/>
      <c r="G350" s="785"/>
    </row>
    <row r="351" spans="1:7" ht="16" x14ac:dyDescent="0.2">
      <c r="A351" s="777" t="s">
        <v>370</v>
      </c>
      <c r="B351" s="775"/>
      <c r="C351" s="775"/>
      <c r="D351" s="775"/>
      <c r="E351" s="775"/>
      <c r="F351" s="795"/>
      <c r="G351" s="785"/>
    </row>
    <row r="352" spans="1:7" x14ac:dyDescent="0.2">
      <c r="A352" s="822" t="s">
        <v>804</v>
      </c>
      <c r="B352" s="908">
        <f>'14. General'!B9</f>
        <v>0</v>
      </c>
      <c r="C352" s="804">
        <v>2</v>
      </c>
      <c r="D352" s="842" t="s">
        <v>371</v>
      </c>
      <c r="E352" s="842"/>
      <c r="F352" s="762"/>
      <c r="G352" s="785"/>
    </row>
    <row r="353" spans="1:7" x14ac:dyDescent="0.2">
      <c r="A353" s="822" t="s">
        <v>805</v>
      </c>
      <c r="B353" s="908">
        <f>'14. General'!B10</f>
        <v>0</v>
      </c>
      <c r="C353" s="860" t="s">
        <v>47</v>
      </c>
      <c r="D353" s="765" t="s">
        <v>372</v>
      </c>
      <c r="E353" s="765"/>
      <c r="F353" s="762"/>
      <c r="G353" s="785"/>
    </row>
    <row r="354" spans="1:7" x14ac:dyDescent="0.2">
      <c r="A354" s="822" t="s">
        <v>806</v>
      </c>
      <c r="B354" s="908">
        <f>'14. General'!B11</f>
        <v>0</v>
      </c>
      <c r="C354" s="804">
        <v>1</v>
      </c>
      <c r="D354" s="760" t="s">
        <v>506</v>
      </c>
      <c r="E354" s="760"/>
      <c r="F354" s="762"/>
      <c r="G354" s="785"/>
    </row>
    <row r="355" spans="1:7" ht="16" x14ac:dyDescent="0.2">
      <c r="A355" s="777" t="s">
        <v>373</v>
      </c>
      <c r="B355" s="775"/>
      <c r="C355" s="775"/>
      <c r="D355" s="775"/>
      <c r="E355" s="775"/>
      <c r="F355" s="795"/>
      <c r="G355" s="785"/>
    </row>
    <row r="356" spans="1:7" x14ac:dyDescent="0.2">
      <c r="A356" s="822" t="s">
        <v>807</v>
      </c>
      <c r="B356" s="908">
        <f>'14. General'!B18</f>
        <v>0</v>
      </c>
      <c r="C356" s="860" t="s">
        <v>474</v>
      </c>
      <c r="D356" s="798" t="s">
        <v>374</v>
      </c>
      <c r="E356" s="798"/>
      <c r="F356" s="762"/>
      <c r="G356" s="785"/>
    </row>
    <row r="357" spans="1:7" x14ac:dyDescent="0.2">
      <c r="A357" s="799"/>
      <c r="B357" s="765"/>
      <c r="C357" s="765"/>
      <c r="D357" s="908">
        <f>'14. General'!D19</f>
        <v>0</v>
      </c>
      <c r="E357" s="762" t="s">
        <v>504</v>
      </c>
      <c r="F357" s="762"/>
      <c r="G357" s="785"/>
    </row>
    <row r="358" spans="1:7" ht="16" x14ac:dyDescent="0.2">
      <c r="A358" s="777" t="s">
        <v>375</v>
      </c>
      <c r="B358" s="775"/>
      <c r="C358" s="775"/>
      <c r="D358" s="775"/>
      <c r="E358" s="775"/>
      <c r="F358" s="795"/>
      <c r="G358" s="785"/>
    </row>
    <row r="359" spans="1:7" x14ac:dyDescent="0.2">
      <c r="A359" s="822" t="s">
        <v>808</v>
      </c>
      <c r="B359" s="773">
        <f>'14. General'!B22</f>
        <v>0</v>
      </c>
      <c r="C359" s="802">
        <v>10</v>
      </c>
      <c r="D359" s="849" t="s">
        <v>972</v>
      </c>
      <c r="E359" s="849"/>
      <c r="F359" s="762"/>
      <c r="G359" s="785"/>
    </row>
    <row r="360" spans="1:7" x14ac:dyDescent="0.2">
      <c r="A360" s="822" t="s">
        <v>809</v>
      </c>
      <c r="B360" s="908">
        <f>'14. General'!B23</f>
        <v>0</v>
      </c>
      <c r="C360" s="804">
        <v>3</v>
      </c>
      <c r="D360" s="842" t="s">
        <v>577</v>
      </c>
      <c r="E360" s="842"/>
      <c r="F360" s="762"/>
      <c r="G360" s="785"/>
    </row>
    <row r="361" spans="1:7" x14ac:dyDescent="0.2">
      <c r="A361" s="822" t="s">
        <v>810</v>
      </c>
      <c r="B361" s="908">
        <f>'14. General'!B24</f>
        <v>0</v>
      </c>
      <c r="C361" s="804">
        <v>2</v>
      </c>
      <c r="D361" s="765" t="s">
        <v>377</v>
      </c>
      <c r="E361" s="765"/>
      <c r="F361" s="762"/>
      <c r="G361" s="785"/>
    </row>
    <row r="362" spans="1:7" x14ac:dyDescent="0.2">
      <c r="A362" s="822" t="s">
        <v>811</v>
      </c>
      <c r="B362" s="908">
        <f>'14. General'!B25</f>
        <v>0</v>
      </c>
      <c r="C362" s="805">
        <v>2</v>
      </c>
      <c r="D362" s="760" t="s">
        <v>531</v>
      </c>
      <c r="E362" s="760"/>
      <c r="F362" s="762"/>
      <c r="G362" s="785"/>
    </row>
    <row r="363" spans="1:7" x14ac:dyDescent="0.2">
      <c r="A363" s="822" t="s">
        <v>891</v>
      </c>
      <c r="B363" s="908">
        <f>'14. General'!B26</f>
        <v>0</v>
      </c>
      <c r="C363" s="805">
        <v>2</v>
      </c>
      <c r="D363" s="1465" t="s">
        <v>892</v>
      </c>
      <c r="E363" s="1465"/>
      <c r="F363" s="762"/>
      <c r="G363" s="785"/>
    </row>
    <row r="364" spans="1:7" ht="16" x14ac:dyDescent="0.2">
      <c r="A364" s="777" t="s">
        <v>378</v>
      </c>
      <c r="B364" s="775"/>
      <c r="C364" s="775"/>
      <c r="D364" s="775"/>
      <c r="E364" s="775"/>
      <c r="F364" s="795"/>
      <c r="G364" s="785"/>
    </row>
    <row r="365" spans="1:7" x14ac:dyDescent="0.2">
      <c r="A365" s="822" t="s">
        <v>812</v>
      </c>
      <c r="B365" s="908">
        <f>'14. General'!B29</f>
        <v>1</v>
      </c>
      <c r="C365" s="797" t="s">
        <v>47</v>
      </c>
      <c r="D365" s="765" t="s">
        <v>379</v>
      </c>
      <c r="E365" s="765"/>
      <c r="F365" s="762"/>
      <c r="G365" s="785"/>
    </row>
    <row r="366" spans="1:7" x14ac:dyDescent="0.2">
      <c r="A366" s="799"/>
      <c r="B366" s="765"/>
      <c r="C366" s="765"/>
      <c r="D366" s="908">
        <f>'14. General'!D30</f>
        <v>1</v>
      </c>
      <c r="E366" s="765" t="s">
        <v>380</v>
      </c>
      <c r="F366" s="762"/>
      <c r="G366" s="785"/>
    </row>
    <row r="367" spans="1:7" x14ac:dyDescent="0.2">
      <c r="A367" s="822" t="s">
        <v>813</v>
      </c>
      <c r="B367" s="908">
        <f>'14. General'!B31</f>
        <v>2</v>
      </c>
      <c r="C367" s="823" t="s">
        <v>505</v>
      </c>
      <c r="D367" s="842" t="s">
        <v>756</v>
      </c>
      <c r="E367" s="842"/>
      <c r="F367" s="762"/>
      <c r="G367" s="785"/>
    </row>
    <row r="368" spans="1:7" x14ac:dyDescent="0.2">
      <c r="A368" s="822" t="s">
        <v>814</v>
      </c>
      <c r="B368" s="908">
        <f>'14. General'!B32</f>
        <v>2</v>
      </c>
      <c r="C368" s="804">
        <v>2</v>
      </c>
      <c r="D368" s="842" t="s">
        <v>773</v>
      </c>
      <c r="E368" s="842"/>
      <c r="F368" s="762"/>
      <c r="G368" s="785"/>
    </row>
    <row r="369" spans="1:7" x14ac:dyDescent="0.2">
      <c r="A369" s="822" t="s">
        <v>815</v>
      </c>
      <c r="B369" s="908">
        <f>'14. General'!B33</f>
        <v>0</v>
      </c>
      <c r="C369" s="844">
        <v>1</v>
      </c>
      <c r="D369" s="765" t="s">
        <v>384</v>
      </c>
      <c r="E369" s="765"/>
      <c r="F369" s="762"/>
      <c r="G369" s="785"/>
    </row>
    <row r="370" spans="1:7" x14ac:dyDescent="0.2">
      <c r="A370" s="822" t="s">
        <v>816</v>
      </c>
      <c r="B370" s="908">
        <f>'14. General'!B35</f>
        <v>0</v>
      </c>
      <c r="C370" s="804">
        <v>2</v>
      </c>
      <c r="D370" s="765" t="s">
        <v>385</v>
      </c>
      <c r="E370" s="765"/>
      <c r="F370" s="762"/>
      <c r="G370" s="785"/>
    </row>
    <row r="371" spans="1:7" x14ac:dyDescent="0.2">
      <c r="A371" s="822" t="s">
        <v>817</v>
      </c>
      <c r="B371" s="908">
        <f>'14. General'!B37</f>
        <v>0</v>
      </c>
      <c r="C371" s="823" t="s">
        <v>104</v>
      </c>
      <c r="D371" s="831" t="s">
        <v>387</v>
      </c>
      <c r="E371" s="831"/>
      <c r="F371" s="762"/>
      <c r="G371" s="785"/>
    </row>
    <row r="372" spans="1:7" x14ac:dyDescent="0.2">
      <c r="A372" s="786"/>
      <c r="B372" s="765"/>
      <c r="C372" s="765"/>
      <c r="D372" s="765" t="s">
        <v>388</v>
      </c>
      <c r="E372" s="765"/>
      <c r="F372" s="762"/>
      <c r="G372" s="785"/>
    </row>
    <row r="373" spans="1:7" x14ac:dyDescent="0.2">
      <c r="A373" s="799"/>
      <c r="B373" s="765"/>
      <c r="C373" s="765"/>
      <c r="D373" s="1463">
        <f>'14. General'!D39</f>
        <v>0</v>
      </c>
      <c r="E373" s="1463"/>
      <c r="F373" s="1463"/>
      <c r="G373" s="1464"/>
    </row>
    <row r="374" spans="1:7" x14ac:dyDescent="0.2">
      <c r="A374" s="799"/>
      <c r="B374" s="908">
        <f>'14. General'!B40</f>
        <v>5</v>
      </c>
      <c r="C374" s="804">
        <v>49</v>
      </c>
      <c r="D374" s="868" t="s">
        <v>111</v>
      </c>
      <c r="E374" s="868"/>
      <c r="F374" s="760"/>
      <c r="G374" s="785"/>
    </row>
    <row r="375" spans="1:7" x14ac:dyDescent="0.2">
      <c r="A375" s="799"/>
      <c r="B375" s="765"/>
      <c r="C375" s="765"/>
      <c r="D375" s="765"/>
      <c r="E375" s="765"/>
      <c r="F375" s="760"/>
      <c r="G375" s="785"/>
    </row>
    <row r="376" spans="1:7" ht="19" x14ac:dyDescent="0.25">
      <c r="A376" s="799"/>
      <c r="B376" s="772">
        <f>'14. General'!B42</f>
        <v>5</v>
      </c>
      <c r="C376" s="812" t="s">
        <v>389</v>
      </c>
      <c r="D376" s="812"/>
      <c r="E376" s="812"/>
      <c r="F376" s="760"/>
      <c r="G376" s="785"/>
    </row>
    <row r="377" spans="1:7" ht="16" thickBot="1" x14ac:dyDescent="0.25">
      <c r="A377" s="815" t="s">
        <v>390</v>
      </c>
      <c r="B377" s="789"/>
      <c r="C377" s="789"/>
      <c r="D377" s="1458">
        <f>'14. General'!E44</f>
        <v>0</v>
      </c>
      <c r="E377" s="1458"/>
      <c r="F377" s="1458"/>
      <c r="G377" s="1459"/>
    </row>
    <row r="378" spans="1:7" ht="16" thickBot="1" x14ac:dyDescent="0.25">
      <c r="A378" s="1929"/>
      <c r="B378" s="1929"/>
      <c r="C378" s="1929"/>
      <c r="D378" s="1929"/>
      <c r="E378" s="1929"/>
      <c r="F378" s="1929"/>
      <c r="G378" s="1929"/>
    </row>
    <row r="379" spans="1:7" ht="22.5" customHeight="1" x14ac:dyDescent="0.25">
      <c r="A379" s="1924" t="s">
        <v>127</v>
      </c>
      <c r="B379" s="1925"/>
      <c r="C379" s="1925"/>
      <c r="D379" s="1925"/>
      <c r="E379" s="1925"/>
      <c r="F379" s="1925"/>
      <c r="G379" s="1926"/>
    </row>
    <row r="380" spans="1:7" x14ac:dyDescent="0.2">
      <c r="A380" s="425" t="s">
        <v>128</v>
      </c>
      <c r="B380" s="912"/>
      <c r="C380" s="912"/>
      <c r="D380" s="912"/>
      <c r="E380" s="427" t="s">
        <v>129</v>
      </c>
      <c r="F380" s="428"/>
      <c r="G380" s="429" t="s">
        <v>130</v>
      </c>
    </row>
    <row r="381" spans="1:7" x14ac:dyDescent="0.2">
      <c r="A381" s="430" t="s">
        <v>131</v>
      </c>
      <c r="B381" s="153"/>
      <c r="C381" s="912"/>
      <c r="D381" s="912"/>
      <c r="E381" s="905">
        <f>B63</f>
        <v>43</v>
      </c>
      <c r="F381" s="912"/>
      <c r="G381" s="431" t="s">
        <v>132</v>
      </c>
    </row>
    <row r="382" spans="1:7" x14ac:dyDescent="0.2">
      <c r="A382" s="430" t="s">
        <v>133</v>
      </c>
      <c r="B382" s="153"/>
      <c r="C382" s="912"/>
      <c r="D382" s="912"/>
      <c r="E382" s="905">
        <f>B118</f>
        <v>12</v>
      </c>
      <c r="F382" s="912"/>
      <c r="G382" s="431" t="s">
        <v>134</v>
      </c>
    </row>
    <row r="383" spans="1:7" x14ac:dyDescent="0.2">
      <c r="A383" s="430" t="s">
        <v>135</v>
      </c>
      <c r="B383" s="153"/>
      <c r="C383" s="153"/>
      <c r="D383" s="912"/>
      <c r="E383" s="905">
        <f>B157</f>
        <v>0</v>
      </c>
      <c r="F383" s="912"/>
      <c r="G383" s="432" t="s">
        <v>839</v>
      </c>
    </row>
    <row r="384" spans="1:7" x14ac:dyDescent="0.2">
      <c r="A384" s="430" t="s">
        <v>137</v>
      </c>
      <c r="B384" s="153"/>
      <c r="C384" s="912"/>
      <c r="D384" s="912"/>
      <c r="E384" s="905">
        <f>B192</f>
        <v>4</v>
      </c>
      <c r="F384" s="912"/>
      <c r="G384" s="433" t="s">
        <v>837</v>
      </c>
    </row>
    <row r="385" spans="1:9" x14ac:dyDescent="0.2">
      <c r="A385" s="430" t="s">
        <v>139</v>
      </c>
      <c r="B385" s="153"/>
      <c r="C385" s="912"/>
      <c r="D385" s="912"/>
      <c r="E385" s="905">
        <f>B246</f>
        <v>22</v>
      </c>
      <c r="F385" s="912"/>
      <c r="G385" s="431" t="s">
        <v>140</v>
      </c>
    </row>
    <row r="386" spans="1:9" x14ac:dyDescent="0.2">
      <c r="A386" s="430" t="s">
        <v>141</v>
      </c>
      <c r="B386" s="153"/>
      <c r="C386" s="912"/>
      <c r="D386" s="912"/>
      <c r="E386" s="905">
        <f>B300</f>
        <v>8</v>
      </c>
      <c r="F386" s="912"/>
      <c r="G386" s="434" t="s">
        <v>142</v>
      </c>
    </row>
    <row r="387" spans="1:9" x14ac:dyDescent="0.2">
      <c r="A387" s="430" t="s">
        <v>143</v>
      </c>
      <c r="B387" s="153"/>
      <c r="C387" s="153"/>
      <c r="D387" s="912"/>
      <c r="E387" s="905">
        <f>B344</f>
        <v>5</v>
      </c>
      <c r="F387" s="912"/>
      <c r="G387" s="433" t="s">
        <v>837</v>
      </c>
    </row>
    <row r="388" spans="1:9" x14ac:dyDescent="0.2">
      <c r="A388" s="430" t="s">
        <v>144</v>
      </c>
      <c r="B388" s="153"/>
      <c r="C388" s="912"/>
      <c r="D388" s="912"/>
      <c r="E388" s="905">
        <f>B376</f>
        <v>5</v>
      </c>
      <c r="F388" s="912"/>
      <c r="G388" s="432" t="s">
        <v>838</v>
      </c>
    </row>
    <row r="389" spans="1:9" ht="27" customHeight="1" x14ac:dyDescent="0.25">
      <c r="A389" s="911"/>
      <c r="B389" s="869"/>
      <c r="C389" s="912"/>
      <c r="D389" s="382" t="s">
        <v>146</v>
      </c>
      <c r="E389" s="436">
        <f>SUM(E381:E388)</f>
        <v>99</v>
      </c>
      <c r="F389" s="912"/>
      <c r="G389" s="715"/>
    </row>
    <row r="390" spans="1:9" ht="27" customHeight="1" x14ac:dyDescent="0.25">
      <c r="A390" s="911"/>
      <c r="B390" s="869"/>
      <c r="C390" s="912"/>
      <c r="D390" s="906" t="s">
        <v>147</v>
      </c>
      <c r="E390" s="436">
        <v>100</v>
      </c>
      <c r="F390" s="912"/>
      <c r="G390" s="716" t="s">
        <v>897</v>
      </c>
    </row>
    <row r="391" spans="1:9" x14ac:dyDescent="0.2">
      <c r="A391" s="911"/>
      <c r="B391" s="912"/>
      <c r="D391" s="870"/>
      <c r="E391" s="870"/>
      <c r="F391" s="870"/>
      <c r="G391" s="785"/>
    </row>
    <row r="392" spans="1:9" ht="16" thickBot="1" x14ac:dyDescent="0.25">
      <c r="A392" s="1454" t="s">
        <v>441</v>
      </c>
      <c r="B392" s="1455"/>
      <c r="C392" s="1455"/>
      <c r="D392" s="1455"/>
      <c r="E392" s="439" t="str">
        <f>IF(I396&lt;0,"Failed","")</f>
        <v>Failed</v>
      </c>
      <c r="G392" s="793"/>
    </row>
    <row r="393" spans="1:9" ht="16" thickBot="1" x14ac:dyDescent="0.25">
      <c r="A393" s="1454"/>
      <c r="B393" s="1455"/>
      <c r="C393" s="1455"/>
      <c r="D393" s="1455"/>
      <c r="E393" s="440" t="str">
        <f>IF(AND(I396&gt;=0,I396&lt;=30),"Bronze","")</f>
        <v/>
      </c>
      <c r="G393" s="610" t="s">
        <v>848</v>
      </c>
    </row>
    <row r="394" spans="1:9" x14ac:dyDescent="0.2">
      <c r="A394" s="1454"/>
      <c r="B394" s="1455"/>
      <c r="C394" s="1455"/>
      <c r="D394" s="1455"/>
      <c r="E394" s="441" t="str">
        <f>IF(AND(I396&gt;=31,I396&lt;=60),"Silver","")</f>
        <v/>
      </c>
      <c r="F394" s="608"/>
      <c r="G394" s="600" t="str">
        <f>'3. Application'!F43</f>
        <v>Total Square Footage of home/unit</v>
      </c>
    </row>
    <row r="395" spans="1:9" x14ac:dyDescent="0.2">
      <c r="A395" s="1454"/>
      <c r="B395" s="1455"/>
      <c r="C395" s="1455"/>
      <c r="D395" s="1455"/>
      <c r="E395" s="441" t="str">
        <f>IF(AND(I396&gt;=61,I396&lt;=90),"Gold","")</f>
        <v/>
      </c>
      <c r="F395" s="608"/>
      <c r="G395" s="600" t="str">
        <f>'3. Application'!F44</f>
        <v>Conditioned Square Footage of home/unit</v>
      </c>
    </row>
    <row r="396" spans="1:9" ht="16" thickBot="1" x14ac:dyDescent="0.25">
      <c r="A396" s="1456"/>
      <c r="B396" s="1457"/>
      <c r="C396" s="1457"/>
      <c r="D396" s="1457"/>
      <c r="E396" s="442" t="str">
        <f>IF(I396&gt;=91,"Platinum","")</f>
        <v/>
      </c>
      <c r="F396" s="609"/>
      <c r="G396" s="607"/>
      <c r="I396" s="624">
        <f>E389-E390</f>
        <v>-1</v>
      </c>
    </row>
  </sheetData>
  <sheetProtection selectLockedCells="1" selectUnlockedCells="1"/>
  <mergeCells count="24">
    <mergeCell ref="C102:C106"/>
    <mergeCell ref="D119:G119"/>
    <mergeCell ref="D167:E167"/>
    <mergeCell ref="D60:E60"/>
    <mergeCell ref="D64:G64"/>
    <mergeCell ref="D65:G65"/>
    <mergeCell ref="D78:E78"/>
    <mergeCell ref="D120:G120"/>
    <mergeCell ref="D121:G121"/>
    <mergeCell ref="D158:G158"/>
    <mergeCell ref="B161:C161"/>
    <mergeCell ref="D161:G162"/>
    <mergeCell ref="A392:D396"/>
    <mergeCell ref="D193:G193"/>
    <mergeCell ref="D214:G214"/>
    <mergeCell ref="D247:G247"/>
    <mergeCell ref="D274:E274"/>
    <mergeCell ref="D301:G301"/>
    <mergeCell ref="D345:G345"/>
    <mergeCell ref="D363:E363"/>
    <mergeCell ref="D373:G373"/>
    <mergeCell ref="D377:G377"/>
    <mergeCell ref="A378:G378"/>
    <mergeCell ref="A379:G379"/>
  </mergeCells>
  <conditionalFormatting sqref="E392">
    <cfRule type="containsText" dxfId="4" priority="5" stopIfTrue="1" operator="containsText" text="Failed">
      <formula>NOT(ISERROR(SEARCH("Failed",E392)))</formula>
    </cfRule>
  </conditionalFormatting>
  <conditionalFormatting sqref="E394">
    <cfRule type="containsText" dxfId="3" priority="4" stopIfTrue="1" operator="containsText" text="Silver">
      <formula>NOT(ISERROR(SEARCH("Silver",E394)))</formula>
    </cfRule>
  </conditionalFormatting>
  <conditionalFormatting sqref="E393">
    <cfRule type="containsText" dxfId="2" priority="3" stopIfTrue="1" operator="containsText" text="Bronze">
      <formula>NOT(ISERROR(SEARCH("Bronze",E393)))</formula>
    </cfRule>
  </conditionalFormatting>
  <conditionalFormatting sqref="E395">
    <cfRule type="containsText" dxfId="1" priority="2" stopIfTrue="1" operator="containsText" text="Gold">
      <formula>NOT(ISERROR(SEARCH("Gold",E395)))</formula>
    </cfRule>
  </conditionalFormatting>
  <conditionalFormatting sqref="E396">
    <cfRule type="containsText" dxfId="0" priority="1" stopIfTrue="1" operator="containsText" text="Platinum">
      <formula>NOT(ISERROR(SEARCH("Platinum",E396)))</formula>
    </cfRule>
  </conditionalFormatting>
  <dataValidations count="1">
    <dataValidation type="list" allowBlank="1" showInputMessage="1" showErrorMessage="1" sqref="B60" xr:uid="{00000000-0002-0000-1200-000000000000}">
      <formula1>$G$63:$G$66</formula1>
    </dataValidation>
  </dataValidations>
  <printOptions horizontalCentered="1"/>
  <pageMargins left="0.45" right="0.45" top="0.5" bottom="0.75" header="0.05" footer="0.05"/>
  <pageSetup scale="76" fitToHeight="9" orientation="portrait"/>
  <headerFooter>
    <oddHeader xml:space="preserve">&amp;R&amp;16&amp;K006600Florida Green Home Standard Checklist </oddHeader>
    <oddFooter>&amp;C&amp;G&amp;R&amp;P of &amp;N</oddFooter>
  </headerFooter>
  <rowBreaks count="8" manualBreakCount="8">
    <brk id="15" max="16383" man="1"/>
    <brk id="65" max="16383" man="1"/>
    <brk id="121" max="16383" man="1"/>
    <brk id="158" max="16383" man="1"/>
    <brk id="193" max="16383" man="1"/>
    <brk id="247" max="16383" man="1"/>
    <brk id="301" max="16383" man="1"/>
    <brk id="345" max="16383" man="1"/>
  </rowBreaks>
  <legacyDrawingHF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5:I46"/>
  <sheetViews>
    <sheetView workbookViewId="0">
      <selection activeCell="B11" sqref="B11:C11"/>
    </sheetView>
  </sheetViews>
  <sheetFormatPr baseColWidth="10" defaultColWidth="8.6640625" defaultRowHeight="15" x14ac:dyDescent="0.2"/>
  <cols>
    <col min="1" max="1" width="25.6640625" customWidth="1"/>
    <col min="8" max="8" width="10.5" customWidth="1"/>
  </cols>
  <sheetData>
    <row r="5" spans="1:9" ht="36" x14ac:dyDescent="0.55000000000000004">
      <c r="A5" s="1350" t="str">
        <f>'1. Instructions'!B1</f>
        <v xml:space="preserve">Florida Green Home Standard </v>
      </c>
      <c r="B5" s="1350"/>
      <c r="C5" s="1350"/>
      <c r="D5" s="1350"/>
      <c r="E5" s="1350"/>
      <c r="F5" s="1350"/>
      <c r="G5" s="1350"/>
      <c r="H5" s="625"/>
      <c r="I5" s="623"/>
    </row>
    <row r="6" spans="1:9" s="623" customFormat="1" ht="21" customHeight="1" x14ac:dyDescent="0.55000000000000004">
      <c r="A6" s="1353" t="str">
        <f>'1. Instructions'!B2</f>
        <v>Version 12 Rev 1.0</v>
      </c>
      <c r="B6" s="1353"/>
      <c r="C6" s="1353"/>
      <c r="D6" s="1353"/>
      <c r="E6" s="1353"/>
      <c r="F6" s="1353"/>
      <c r="G6" s="1353"/>
      <c r="H6" s="625"/>
    </row>
    <row r="7" spans="1:9" ht="18" x14ac:dyDescent="0.2">
      <c r="A7" s="1351" t="s">
        <v>852</v>
      </c>
      <c r="B7" s="1351"/>
      <c r="C7" s="1351"/>
      <c r="D7" s="1351"/>
      <c r="E7" s="1351"/>
      <c r="F7" s="1351"/>
      <c r="G7" s="1351"/>
      <c r="H7" s="626"/>
      <c r="I7" s="623"/>
    </row>
    <row r="8" spans="1:9" ht="15.75" customHeight="1" x14ac:dyDescent="0.2">
      <c r="A8" s="1341" t="s">
        <v>859</v>
      </c>
      <c r="B8" s="1341"/>
      <c r="C8" s="1341"/>
      <c r="D8" s="1341"/>
      <c r="E8" s="1341"/>
      <c r="F8" s="1341"/>
      <c r="G8" s="1341"/>
      <c r="H8" s="626"/>
      <c r="I8" s="623"/>
    </row>
    <row r="9" spans="1:9" ht="16" x14ac:dyDescent="0.2">
      <c r="A9" s="627"/>
      <c r="B9" s="627"/>
      <c r="C9" s="627"/>
      <c r="D9" s="626"/>
      <c r="E9" s="626"/>
      <c r="F9" s="626"/>
      <c r="G9" s="626"/>
      <c r="H9" s="626"/>
      <c r="I9" s="623"/>
    </row>
    <row r="10" spans="1:9" x14ac:dyDescent="0.2">
      <c r="A10" s="628"/>
      <c r="B10" s="1343" t="s">
        <v>116</v>
      </c>
      <c r="C10" s="1343"/>
      <c r="D10" s="1343"/>
      <c r="E10" s="1343"/>
      <c r="F10" s="1343"/>
      <c r="G10" s="623"/>
      <c r="H10" s="623"/>
      <c r="I10" s="623"/>
    </row>
    <row r="11" spans="1:9" x14ac:dyDescent="0.2">
      <c r="A11" s="636" t="s">
        <v>871</v>
      </c>
      <c r="B11" s="1342"/>
      <c r="C11" s="1354"/>
      <c r="D11" s="648" t="s">
        <v>872</v>
      </c>
      <c r="E11" s="1345"/>
      <c r="F11" s="1345"/>
      <c r="G11" s="649"/>
      <c r="H11" s="638"/>
      <c r="I11" s="638"/>
    </row>
    <row r="12" spans="1:9" x14ac:dyDescent="0.2">
      <c r="A12" s="633" t="s">
        <v>118</v>
      </c>
      <c r="B12" s="1342"/>
      <c r="C12" s="1342"/>
      <c r="D12" s="1342"/>
      <c r="E12" s="1342"/>
      <c r="F12" s="1342"/>
      <c r="G12" s="638"/>
      <c r="H12" s="638"/>
      <c r="I12" s="638"/>
    </row>
    <row r="13" spans="1:9" x14ac:dyDescent="0.2">
      <c r="A13" s="633" t="s">
        <v>119</v>
      </c>
      <c r="B13" s="1342"/>
      <c r="C13" s="1342"/>
      <c r="D13" s="1342"/>
      <c r="E13" s="1342"/>
      <c r="F13" s="1342"/>
      <c r="G13" s="639"/>
      <c r="H13" s="639"/>
      <c r="I13" s="638"/>
    </row>
    <row r="14" spans="1:9" x14ac:dyDescent="0.2">
      <c r="A14" s="633" t="s">
        <v>120</v>
      </c>
      <c r="B14" s="1342"/>
      <c r="C14" s="1342"/>
      <c r="D14" s="1342"/>
      <c r="E14" s="1342"/>
      <c r="F14" s="1342"/>
      <c r="G14" s="639"/>
      <c r="H14" s="639"/>
      <c r="I14" s="638"/>
    </row>
    <row r="15" spans="1:9" x14ac:dyDescent="0.2">
      <c r="A15" s="633" t="s">
        <v>121</v>
      </c>
      <c r="B15" s="1342"/>
      <c r="C15" s="1342"/>
      <c r="D15" s="1342"/>
      <c r="E15" s="1342"/>
      <c r="F15" s="1342"/>
      <c r="G15" s="639"/>
      <c r="H15" s="639"/>
      <c r="I15" s="638"/>
    </row>
    <row r="16" spans="1:9" x14ac:dyDescent="0.2">
      <c r="A16" s="633" t="s">
        <v>122</v>
      </c>
      <c r="B16" s="1342"/>
      <c r="C16" s="1342"/>
      <c r="D16" s="1342"/>
      <c r="E16" s="1342"/>
      <c r="F16" s="1342"/>
      <c r="G16" s="638"/>
      <c r="H16" s="638"/>
      <c r="I16" s="638"/>
    </row>
    <row r="17" spans="1:9" x14ac:dyDescent="0.2">
      <c r="A17" s="633" t="s">
        <v>124</v>
      </c>
      <c r="B17" s="1342"/>
      <c r="C17" s="1342"/>
      <c r="D17" s="1342"/>
      <c r="E17" s="1342"/>
      <c r="F17" s="1342"/>
      <c r="G17" s="638"/>
      <c r="H17" s="638"/>
      <c r="I17" s="638"/>
    </row>
    <row r="18" spans="1:9" x14ac:dyDescent="0.2">
      <c r="A18" s="633" t="s">
        <v>940</v>
      </c>
      <c r="B18" s="1342"/>
      <c r="C18" s="1342"/>
      <c r="D18" s="1342"/>
      <c r="E18" s="1342"/>
      <c r="F18" s="1342"/>
      <c r="G18" s="638"/>
      <c r="H18" s="638"/>
      <c r="I18" s="638"/>
    </row>
    <row r="19" spans="1:9" x14ac:dyDescent="0.2">
      <c r="A19" s="633"/>
      <c r="B19" s="640"/>
      <c r="C19" s="641"/>
      <c r="D19" s="641"/>
      <c r="E19" s="641"/>
      <c r="F19" s="637"/>
      <c r="G19" s="638"/>
      <c r="H19" s="638"/>
      <c r="I19" s="638"/>
    </row>
    <row r="20" spans="1:9" x14ac:dyDescent="0.2">
      <c r="A20" s="633"/>
      <c r="B20" s="1344" t="s">
        <v>117</v>
      </c>
      <c r="C20" s="1344"/>
      <c r="D20" s="1344"/>
      <c r="E20" s="1344"/>
      <c r="F20" s="1344"/>
      <c r="G20" s="638"/>
      <c r="H20" s="638"/>
      <c r="I20" s="638"/>
    </row>
    <row r="21" spans="1:9" x14ac:dyDescent="0.2">
      <c r="A21" s="633" t="s">
        <v>120</v>
      </c>
      <c r="B21" s="1342"/>
      <c r="C21" s="1342"/>
      <c r="D21" s="1342"/>
      <c r="E21" s="1342"/>
      <c r="F21" s="1342"/>
      <c r="G21" s="642"/>
      <c r="H21" s="642"/>
      <c r="I21" s="638"/>
    </row>
    <row r="22" spans="1:9" x14ac:dyDescent="0.2">
      <c r="A22" s="633" t="s">
        <v>853</v>
      </c>
      <c r="B22" s="1342"/>
      <c r="C22" s="1342"/>
      <c r="D22" s="1342"/>
      <c r="E22" s="1342"/>
      <c r="F22" s="1342"/>
      <c r="G22" s="643"/>
      <c r="H22" s="643"/>
      <c r="I22" s="643"/>
    </row>
    <row r="23" spans="1:9" x14ac:dyDescent="0.2">
      <c r="A23" s="633" t="s">
        <v>854</v>
      </c>
      <c r="B23" s="1342"/>
      <c r="C23" s="1342"/>
      <c r="D23" s="1342"/>
      <c r="E23" s="1342"/>
      <c r="F23" s="1342"/>
      <c r="G23" s="1349"/>
      <c r="H23" s="1349"/>
      <c r="I23" s="644"/>
    </row>
    <row r="24" spans="1:9" x14ac:dyDescent="0.2">
      <c r="A24" s="633"/>
      <c r="B24" s="640"/>
      <c r="C24" s="641"/>
      <c r="D24" s="641"/>
      <c r="E24" s="641"/>
      <c r="F24" s="643"/>
      <c r="G24" s="637"/>
      <c r="H24" s="637"/>
      <c r="I24" s="638"/>
    </row>
    <row r="25" spans="1:9" x14ac:dyDescent="0.2">
      <c r="A25" s="633"/>
      <c r="B25" s="1348" t="s">
        <v>125</v>
      </c>
      <c r="C25" s="1348"/>
      <c r="D25" s="1348"/>
      <c r="E25" s="1348"/>
      <c r="F25" s="1348"/>
      <c r="G25" s="637"/>
      <c r="H25" s="637"/>
      <c r="I25" s="638"/>
    </row>
    <row r="26" spans="1:9" x14ac:dyDescent="0.2">
      <c r="A26" s="633" t="s">
        <v>118</v>
      </c>
      <c r="B26" s="1342"/>
      <c r="C26" s="1342"/>
      <c r="D26" s="1342"/>
      <c r="E26" s="1342"/>
      <c r="F26" s="1342"/>
      <c r="G26" s="637"/>
      <c r="H26" s="637"/>
      <c r="I26" s="638"/>
    </row>
    <row r="27" spans="1:9" x14ac:dyDescent="0.2">
      <c r="A27" s="633" t="s">
        <v>119</v>
      </c>
      <c r="B27" s="1342"/>
      <c r="C27" s="1342"/>
      <c r="D27" s="1342"/>
      <c r="E27" s="1342"/>
      <c r="F27" s="1342"/>
      <c r="G27" s="637"/>
      <c r="H27" s="637"/>
      <c r="I27" s="638"/>
    </row>
    <row r="28" spans="1:9" x14ac:dyDescent="0.2">
      <c r="A28" s="633" t="s">
        <v>120</v>
      </c>
      <c r="B28" s="1342"/>
      <c r="C28" s="1342"/>
      <c r="D28" s="1342"/>
      <c r="E28" s="1342"/>
      <c r="F28" s="1342"/>
      <c r="G28" s="637"/>
      <c r="H28" s="637"/>
      <c r="I28" s="638"/>
    </row>
    <row r="29" spans="1:9" x14ac:dyDescent="0.2">
      <c r="A29" s="633" t="s">
        <v>121</v>
      </c>
      <c r="B29" s="1342"/>
      <c r="C29" s="1342"/>
      <c r="D29" s="1342"/>
      <c r="E29" s="1342"/>
      <c r="F29" s="1342"/>
      <c r="G29" s="637"/>
      <c r="H29" s="637"/>
      <c r="I29" s="638"/>
    </row>
    <row r="30" spans="1:9" x14ac:dyDescent="0.2">
      <c r="A30" s="633" t="s">
        <v>122</v>
      </c>
      <c r="B30" s="1342"/>
      <c r="C30" s="1342"/>
      <c r="D30" s="1342"/>
      <c r="E30" s="1342"/>
      <c r="F30" s="1342"/>
      <c r="G30" s="637"/>
      <c r="H30" s="637"/>
      <c r="I30" s="638"/>
    </row>
    <row r="31" spans="1:9" x14ac:dyDescent="0.2">
      <c r="A31" s="633" t="s">
        <v>123</v>
      </c>
      <c r="B31" s="1342"/>
      <c r="C31" s="1342"/>
      <c r="D31" s="1342"/>
      <c r="E31" s="1342"/>
      <c r="F31" s="1342"/>
      <c r="G31" s="637"/>
      <c r="H31" s="637"/>
      <c r="I31" s="638"/>
    </row>
    <row r="32" spans="1:9" x14ac:dyDescent="0.2">
      <c r="A32" s="633" t="s">
        <v>124</v>
      </c>
      <c r="B32" s="1352"/>
      <c r="C32" s="1352"/>
      <c r="D32" s="1352"/>
      <c r="E32" s="1352"/>
      <c r="F32" s="1352"/>
      <c r="G32" s="638"/>
      <c r="H32" s="638"/>
      <c r="I32" s="638"/>
    </row>
    <row r="33" spans="1:9" x14ac:dyDescent="0.2">
      <c r="A33" s="623"/>
      <c r="B33" s="638"/>
      <c r="C33" s="638"/>
      <c r="D33" s="638"/>
      <c r="E33" s="638"/>
      <c r="F33" s="645"/>
      <c r="G33" s="646"/>
      <c r="H33" s="638"/>
      <c r="I33" s="632"/>
    </row>
    <row r="34" spans="1:9" ht="16" x14ac:dyDescent="0.2">
      <c r="A34" s="630" t="s">
        <v>855</v>
      </c>
      <c r="B34" s="647">
        <v>75</v>
      </c>
      <c r="C34" s="638" t="s">
        <v>856</v>
      </c>
      <c r="D34" s="638"/>
      <c r="E34" s="645"/>
      <c r="F34" s="638"/>
      <c r="G34" s="638"/>
      <c r="H34" s="638"/>
      <c r="I34" s="632"/>
    </row>
    <row r="35" spans="1:9" x14ac:dyDescent="0.2">
      <c r="A35" s="623"/>
      <c r="B35" s="638"/>
      <c r="C35" s="638"/>
      <c r="D35" s="638"/>
      <c r="E35" s="638"/>
      <c r="F35" s="638"/>
      <c r="G35" s="638"/>
      <c r="H35" s="638"/>
      <c r="I35" s="638"/>
    </row>
    <row r="36" spans="1:9" ht="16" x14ac:dyDescent="0.2">
      <c r="A36" s="630" t="s">
        <v>857</v>
      </c>
      <c r="B36" s="638"/>
      <c r="C36" s="638"/>
      <c r="D36" s="638"/>
      <c r="E36" s="638"/>
      <c r="F36" s="638"/>
      <c r="G36" s="638"/>
      <c r="H36" s="638"/>
      <c r="I36" s="638"/>
    </row>
    <row r="37" spans="1:9" ht="18" customHeight="1" x14ac:dyDescent="0.2">
      <c r="A37" s="631" t="s">
        <v>860</v>
      </c>
      <c r="B37" s="717"/>
      <c r="C37" s="632" t="s">
        <v>861</v>
      </c>
      <c r="D37" s="717"/>
      <c r="E37" s="638" t="s">
        <v>862</v>
      </c>
      <c r="F37" s="717"/>
      <c r="G37" s="638" t="s">
        <v>863</v>
      </c>
      <c r="H37" s="717"/>
      <c r="I37" s="638" t="s">
        <v>864</v>
      </c>
    </row>
    <row r="38" spans="1:9" ht="18" customHeight="1" x14ac:dyDescent="0.2">
      <c r="A38" s="631" t="s">
        <v>865</v>
      </c>
      <c r="B38" s="1339"/>
      <c r="C38" s="1339"/>
      <c r="D38" s="1339"/>
      <c r="E38" s="1339"/>
      <c r="F38" s="1339"/>
      <c r="G38" s="1339"/>
      <c r="H38" s="638"/>
      <c r="I38" s="638"/>
    </row>
    <row r="39" spans="1:9" ht="18" customHeight="1" x14ac:dyDescent="0.2">
      <c r="A39" s="623" t="s">
        <v>866</v>
      </c>
      <c r="B39" s="1346"/>
      <c r="C39" s="1346"/>
      <c r="D39" s="1347" t="s">
        <v>867</v>
      </c>
      <c r="E39" s="1347"/>
      <c r="F39" s="1346"/>
      <c r="G39" s="1346"/>
      <c r="H39" s="638"/>
      <c r="I39" s="638"/>
    </row>
    <row r="40" spans="1:9" ht="18" customHeight="1" x14ac:dyDescent="0.2">
      <c r="A40" s="631" t="s">
        <v>868</v>
      </c>
      <c r="B40" s="1339"/>
      <c r="C40" s="1339"/>
      <c r="D40" s="1339"/>
      <c r="E40" s="1339"/>
      <c r="F40" s="1339"/>
      <c r="G40" s="1339"/>
      <c r="H40" s="638"/>
      <c r="I40" s="638"/>
    </row>
    <row r="41" spans="1:9" ht="21.75" customHeight="1" x14ac:dyDescent="0.2">
      <c r="A41" s="631" t="s">
        <v>869</v>
      </c>
      <c r="B41" s="638"/>
      <c r="C41" s="1340"/>
      <c r="D41" s="1340"/>
      <c r="E41" s="1340"/>
      <c r="F41" s="1340"/>
      <c r="G41" s="1340"/>
      <c r="H41" s="1340"/>
      <c r="I41" s="638"/>
    </row>
    <row r="42" spans="1:9" x14ac:dyDescent="0.2">
      <c r="A42" s="623"/>
      <c r="B42" s="638"/>
      <c r="C42" s="638"/>
      <c r="D42" s="638"/>
      <c r="E42" s="638"/>
      <c r="F42" s="638"/>
      <c r="G42" s="638"/>
      <c r="H42" s="638"/>
      <c r="I42" s="638"/>
    </row>
    <row r="43" spans="1:9" ht="16" x14ac:dyDescent="0.2">
      <c r="A43" s="630" t="s">
        <v>858</v>
      </c>
      <c r="B43" s="638"/>
      <c r="C43" s="638"/>
      <c r="D43" s="638"/>
      <c r="E43" s="638"/>
      <c r="F43" s="638"/>
      <c r="G43" s="638"/>
      <c r="H43" s="638"/>
      <c r="I43" s="638"/>
    </row>
    <row r="44" spans="1:9" ht="43" x14ac:dyDescent="0.2">
      <c r="A44" s="1025" t="s">
        <v>1290</v>
      </c>
      <c r="B44" s="623"/>
      <c r="C44" s="623"/>
      <c r="D44" s="623"/>
      <c r="E44" s="623"/>
      <c r="F44" s="623"/>
      <c r="G44" s="623"/>
      <c r="H44" s="623"/>
      <c r="I44" s="623"/>
    </row>
    <row r="45" spans="1:9" x14ac:dyDescent="0.2">
      <c r="A45" s="1026" t="s">
        <v>1023</v>
      </c>
      <c r="B45" s="623"/>
      <c r="C45" s="629" t="s">
        <v>1021</v>
      </c>
      <c r="D45" s="623"/>
      <c r="E45" s="623"/>
      <c r="F45" s="623"/>
      <c r="G45" s="623"/>
      <c r="H45" s="623"/>
      <c r="I45" s="623"/>
    </row>
    <row r="46" spans="1:9" x14ac:dyDescent="0.2">
      <c r="A46" s="629" t="s">
        <v>1022</v>
      </c>
      <c r="B46" s="623"/>
      <c r="C46" s="623"/>
      <c r="D46" s="623"/>
      <c r="E46" s="623"/>
      <c r="F46" s="623"/>
      <c r="G46" s="623"/>
      <c r="H46" s="623"/>
      <c r="I46" s="623"/>
    </row>
  </sheetData>
  <sheetProtection algorithmName="SHA-512" hashValue="L3kRjzMGTJDDSaaaye934NVhMgRsvvrWSGawYbxSQMsT3ie4x0T61DHSVLArIh7QBWZnAzEOV+aRrd94Tl0xdQ==" saltValue="uvSHFhGrbWld521jE9dc+A==" spinCount="100000" sheet="1" selectLockedCells="1"/>
  <mergeCells count="33">
    <mergeCell ref="B15:F15"/>
    <mergeCell ref="A5:G5"/>
    <mergeCell ref="A7:G7"/>
    <mergeCell ref="B32:F32"/>
    <mergeCell ref="B38:G38"/>
    <mergeCell ref="A6:G6"/>
    <mergeCell ref="B11:C11"/>
    <mergeCell ref="F39:G39"/>
    <mergeCell ref="B21:F21"/>
    <mergeCell ref="B22:F22"/>
    <mergeCell ref="B23:F23"/>
    <mergeCell ref="B25:F25"/>
    <mergeCell ref="B26:F26"/>
    <mergeCell ref="B29:F29"/>
    <mergeCell ref="B30:F30"/>
    <mergeCell ref="G23:H23"/>
    <mergeCell ref="B28:F28"/>
    <mergeCell ref="B40:G40"/>
    <mergeCell ref="C41:H41"/>
    <mergeCell ref="A8:G8"/>
    <mergeCell ref="B31:F31"/>
    <mergeCell ref="B10:F10"/>
    <mergeCell ref="B12:F12"/>
    <mergeCell ref="B13:F13"/>
    <mergeCell ref="B14:F14"/>
    <mergeCell ref="B27:F27"/>
    <mergeCell ref="B16:F16"/>
    <mergeCell ref="B17:F17"/>
    <mergeCell ref="B18:F18"/>
    <mergeCell ref="B20:F20"/>
    <mergeCell ref="E11:F11"/>
    <mergeCell ref="B39:C39"/>
    <mergeCell ref="D39:E39"/>
  </mergeCells>
  <pageMargins left="0.7" right="0.7" top="0.75" bottom="0.75" header="0.3" footer="0.3"/>
  <pageSetup scale="9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T102"/>
  <sheetViews>
    <sheetView topLeftCell="A39" zoomScale="130" zoomScaleNormal="130" zoomScaleSheetLayoutView="110" workbookViewId="0">
      <selection activeCell="D62" sqref="D62"/>
    </sheetView>
  </sheetViews>
  <sheetFormatPr baseColWidth="10" defaultColWidth="8.6640625" defaultRowHeight="14" x14ac:dyDescent="0.15"/>
  <cols>
    <col min="1" max="1" width="12.6640625" style="367" customWidth="1"/>
    <col min="2" max="2" width="7.6640625" style="367" customWidth="1"/>
    <col min="3" max="3" width="44.5" style="367" customWidth="1"/>
    <col min="4" max="4" width="5.6640625" style="367" customWidth="1"/>
    <col min="5" max="5" width="15.1640625" style="367" customWidth="1"/>
    <col min="6" max="6" width="49.5" style="367" customWidth="1"/>
    <col min="7" max="7" width="8.6640625" style="367"/>
    <col min="8" max="8" width="9.1640625" style="367" customWidth="1"/>
    <col min="9" max="10" width="8.6640625" style="367"/>
    <col min="11" max="11" width="16.6640625" style="367" customWidth="1"/>
    <col min="12" max="16384" width="8.6640625" style="367"/>
  </cols>
  <sheetData>
    <row r="1" spans="1:15" s="365" customFormat="1" ht="24" customHeight="1" x14ac:dyDescent="0.35">
      <c r="A1" s="1413" t="s">
        <v>907</v>
      </c>
      <c r="B1" s="1414"/>
      <c r="C1" s="1414"/>
      <c r="D1" s="1414"/>
      <c r="E1" s="1414"/>
      <c r="F1" s="1415"/>
    </row>
    <row r="2" spans="1:15" s="365" customFormat="1" ht="24" customHeight="1" x14ac:dyDescent="0.35">
      <c r="A2" s="1431" t="str">
        <f>'1. Instructions'!B2</f>
        <v>Version 12 Rev 1.0</v>
      </c>
      <c r="B2" s="1432"/>
      <c r="C2" s="1432"/>
      <c r="D2" s="1432"/>
      <c r="E2" s="1432"/>
      <c r="F2" s="1433"/>
      <c r="G2" s="366"/>
      <c r="H2" s="366"/>
      <c r="I2" s="366"/>
      <c r="J2" s="366"/>
    </row>
    <row r="3" spans="1:15" s="365" customFormat="1" ht="24" customHeight="1" x14ac:dyDescent="0.35">
      <c r="A3" s="1416" t="s">
        <v>1001</v>
      </c>
      <c r="B3" s="1417"/>
      <c r="C3" s="1417"/>
      <c r="D3" s="1417"/>
      <c r="E3" s="1417"/>
      <c r="F3" s="1418"/>
      <c r="G3" s="366"/>
      <c r="H3" s="366"/>
      <c r="I3" s="366"/>
      <c r="J3" s="366"/>
    </row>
    <row r="4" spans="1:15" x14ac:dyDescent="0.15">
      <c r="A4" s="1422" t="str">
        <f>'1. Instructions'!$B$4</f>
        <v>Effective January 1, 2021 (Required January 1, 2022)</v>
      </c>
      <c r="B4" s="1423"/>
      <c r="C4" s="1423"/>
      <c r="D4" s="1423"/>
      <c r="E4" s="1423"/>
      <c r="F4" s="1424"/>
    </row>
    <row r="5" spans="1:15" x14ac:dyDescent="0.15">
      <c r="A5" s="1419" t="str">
        <f>'1. Instructions'!$B$5</f>
        <v>Revised 4-5-2022</v>
      </c>
      <c r="B5" s="1420"/>
      <c r="C5" s="1420"/>
      <c r="D5" s="1420"/>
      <c r="E5" s="1420"/>
      <c r="F5" s="1421"/>
    </row>
    <row r="6" spans="1:15" x14ac:dyDescent="0.15">
      <c r="A6" s="892" t="s">
        <v>535</v>
      </c>
      <c r="B6" s="887"/>
      <c r="C6" s="888"/>
      <c r="D6" s="309"/>
      <c r="E6" s="310"/>
      <c r="F6" s="720"/>
      <c r="G6" s="368"/>
      <c r="I6" s="309"/>
      <c r="J6" s="309"/>
      <c r="K6" s="309"/>
      <c r="L6" s="309"/>
      <c r="M6" s="309"/>
      <c r="N6" s="309"/>
      <c r="O6" s="309"/>
    </row>
    <row r="7" spans="1:15" x14ac:dyDescent="0.15">
      <c r="A7" s="695" t="s">
        <v>536</v>
      </c>
      <c r="B7" s="685"/>
      <c r="C7" s="686"/>
      <c r="D7" s="309"/>
      <c r="E7" s="310"/>
      <c r="F7" s="720"/>
      <c r="G7" s="368"/>
      <c r="I7" s="309"/>
      <c r="J7" s="309"/>
      <c r="K7" s="309"/>
      <c r="L7" s="309"/>
      <c r="M7" s="309"/>
      <c r="N7" s="309"/>
      <c r="O7" s="309"/>
    </row>
    <row r="8" spans="1:15" x14ac:dyDescent="0.15">
      <c r="A8" s="719" t="s">
        <v>908</v>
      </c>
      <c r="B8" s="308"/>
      <c r="C8" s="309"/>
      <c r="D8" s="309"/>
      <c r="E8" s="310"/>
      <c r="F8" s="720"/>
      <c r="G8" s="368"/>
      <c r="I8" s="309"/>
      <c r="J8" s="309"/>
      <c r="K8" s="309"/>
      <c r="L8" s="309"/>
      <c r="M8" s="309"/>
      <c r="N8" s="309"/>
      <c r="O8" s="309"/>
    </row>
    <row r="9" spans="1:15" x14ac:dyDescent="0.15">
      <c r="A9" s="719" t="s">
        <v>551</v>
      </c>
      <c r="B9" s="308"/>
      <c r="C9" s="309"/>
      <c r="D9" s="309"/>
      <c r="E9" s="310"/>
      <c r="F9" s="720"/>
      <c r="G9" s="368"/>
      <c r="I9" s="309"/>
      <c r="J9" s="309"/>
      <c r="K9" s="309"/>
      <c r="L9" s="309"/>
      <c r="M9" s="309"/>
      <c r="N9" s="309"/>
      <c r="O9" s="309"/>
    </row>
    <row r="10" spans="1:15" ht="32.25" customHeight="1" x14ac:dyDescent="0.15">
      <c r="A10" s="1428" t="str">
        <f>'1. Instructions'!A41:B41</f>
        <v xml:space="preserve">        (Note: Payment by check is acceptable - see mailing instructions below)</v>
      </c>
      <c r="B10" s="1429"/>
      <c r="C10" s="1429"/>
      <c r="D10" s="1429"/>
      <c r="E10" s="1429"/>
      <c r="F10" s="1430"/>
      <c r="G10" s="368"/>
      <c r="I10" s="309"/>
      <c r="J10" s="309"/>
      <c r="K10" s="309"/>
      <c r="L10" s="309"/>
      <c r="M10" s="309"/>
      <c r="N10" s="309"/>
      <c r="O10" s="309"/>
    </row>
    <row r="11" spans="1:15" ht="18.75" customHeight="1" x14ac:dyDescent="0.2">
      <c r="A11" s="1425" t="s">
        <v>957</v>
      </c>
      <c r="B11" s="1426"/>
      <c r="C11" s="1426"/>
      <c r="D11" s="1426"/>
      <c r="E11" s="1426"/>
      <c r="F11" s="1427"/>
      <c r="G11" s="368"/>
      <c r="I11" s="309"/>
      <c r="J11" s="309"/>
      <c r="K11" s="309"/>
      <c r="L11" s="309"/>
      <c r="M11" s="309"/>
      <c r="N11" s="309"/>
      <c r="O11" s="309"/>
    </row>
    <row r="12" spans="1:15" ht="15" x14ac:dyDescent="0.2">
      <c r="A12" s="957"/>
      <c r="B12" s="958"/>
      <c r="C12" s="958"/>
      <c r="D12" s="958"/>
      <c r="E12" s="958"/>
      <c r="F12" s="959"/>
      <c r="G12" s="368"/>
      <c r="I12" s="309"/>
      <c r="J12" s="309"/>
      <c r="K12" s="309"/>
      <c r="L12" s="309"/>
      <c r="M12" s="309"/>
      <c r="N12" s="309"/>
      <c r="O12" s="309"/>
    </row>
    <row r="13" spans="1:15" ht="10.5" customHeight="1" x14ac:dyDescent="0.15">
      <c r="A13" s="695" t="s">
        <v>537</v>
      </c>
      <c r="B13" s="308"/>
      <c r="C13" s="309"/>
      <c r="D13" s="309"/>
      <c r="E13" s="310"/>
      <c r="F13" s="696"/>
      <c r="I13" s="309"/>
      <c r="J13" s="309"/>
      <c r="K13" s="309"/>
      <c r="L13" s="309"/>
      <c r="M13" s="309"/>
      <c r="N13" s="309"/>
      <c r="O13" s="309"/>
    </row>
    <row r="14" spans="1:15" x14ac:dyDescent="0.15">
      <c r="A14" s="719" t="s">
        <v>552</v>
      </c>
      <c r="B14" s="308"/>
      <c r="C14" s="309"/>
      <c r="D14" s="309"/>
      <c r="E14" s="310"/>
      <c r="F14" s="720"/>
      <c r="K14" s="1332"/>
      <c r="L14" s="1332"/>
      <c r="M14" s="1332"/>
    </row>
    <row r="15" spans="1:15" x14ac:dyDescent="0.15">
      <c r="A15" s="719" t="s">
        <v>905</v>
      </c>
      <c r="B15" s="308"/>
      <c r="C15" s="309"/>
      <c r="D15" s="309"/>
      <c r="E15" s="310"/>
      <c r="F15" s="720"/>
      <c r="K15" s="914"/>
      <c r="L15" s="914"/>
      <c r="M15" s="914"/>
    </row>
    <row r="16" spans="1:15" x14ac:dyDescent="0.15">
      <c r="A16" s="719"/>
      <c r="B16" s="1163" t="s">
        <v>1025</v>
      </c>
      <c r="C16" s="309"/>
      <c r="D16" s="309"/>
      <c r="E16" s="309"/>
      <c r="F16" s="696"/>
      <c r="K16" s="914"/>
      <c r="L16" s="914"/>
      <c r="M16" s="914"/>
    </row>
    <row r="17" spans="1:13" x14ac:dyDescent="0.15">
      <c r="A17" s="719"/>
      <c r="B17" s="1922" t="s">
        <v>1024</v>
      </c>
      <c r="C17" s="1922"/>
      <c r="D17" s="309"/>
      <c r="E17" s="309"/>
      <c r="F17" s="696"/>
      <c r="K17" s="914"/>
      <c r="L17" s="914"/>
      <c r="M17" s="914"/>
    </row>
    <row r="18" spans="1:13" ht="15" thickBot="1" x14ac:dyDescent="0.2">
      <c r="A18" s="719"/>
      <c r="B18" s="1922" t="s">
        <v>1276</v>
      </c>
      <c r="C18" s="1922"/>
      <c r="D18" s="309"/>
      <c r="E18" s="309"/>
      <c r="F18" s="696"/>
      <c r="K18" s="914"/>
      <c r="L18" s="914"/>
      <c r="M18" s="914"/>
    </row>
    <row r="19" spans="1:13" ht="25.25" customHeight="1" x14ac:dyDescent="0.15">
      <c r="A19" s="701" t="s">
        <v>874</v>
      </c>
      <c r="B19" s="692"/>
      <c r="C19" s="943"/>
      <c r="D19" s="311"/>
      <c r="E19" s="723" t="s">
        <v>900</v>
      </c>
      <c r="F19" s="696"/>
    </row>
    <row r="20" spans="1:13" ht="19.5" customHeight="1" x14ac:dyDescent="0.15">
      <c r="A20" s="944" t="s">
        <v>878</v>
      </c>
      <c r="B20" s="722"/>
      <c r="C20" s="945"/>
      <c r="D20" s="311"/>
      <c r="E20" s="889"/>
      <c r="F20" s="696" t="s">
        <v>904</v>
      </c>
      <c r="G20" s="309"/>
    </row>
    <row r="21" spans="1:13" ht="14.25" customHeight="1" x14ac:dyDescent="0.15">
      <c r="A21" s="946" t="s">
        <v>879</v>
      </c>
      <c r="B21" s="613" t="s">
        <v>994</v>
      </c>
      <c r="C21" s="696"/>
      <c r="D21" s="311"/>
      <c r="E21" s="890"/>
      <c r="F21" s="696" t="s">
        <v>899</v>
      </c>
      <c r="G21" s="309"/>
    </row>
    <row r="22" spans="1:13" ht="14.25" customHeight="1" x14ac:dyDescent="0.15">
      <c r="A22" s="947" t="s">
        <v>413</v>
      </c>
      <c r="B22" s="312" t="s">
        <v>995</v>
      </c>
      <c r="C22" s="696"/>
      <c r="D22" s="311"/>
      <c r="E22" s="890"/>
      <c r="F22" s="696" t="s">
        <v>902</v>
      </c>
    </row>
    <row r="23" spans="1:13" ht="14.25" customHeight="1" x14ac:dyDescent="0.15">
      <c r="A23" s="705"/>
      <c r="B23" s="312"/>
      <c r="C23" s="696"/>
      <c r="D23" s="311"/>
      <c r="E23" s="890"/>
      <c r="F23" s="696" t="s">
        <v>954</v>
      </c>
    </row>
    <row r="24" spans="1:13" ht="14.25" customHeight="1" thickBot="1" x14ac:dyDescent="0.2">
      <c r="A24" s="693" t="s">
        <v>1000</v>
      </c>
      <c r="B24" s="309"/>
      <c r="C24" s="696"/>
      <c r="D24" s="311"/>
      <c r="E24" s="891">
        <f>SUM(E21:E23)</f>
        <v>0</v>
      </c>
      <c r="F24" s="704" t="s">
        <v>898</v>
      </c>
    </row>
    <row r="25" spans="1:13" ht="14.25" customHeight="1" thickTop="1" x14ac:dyDescent="0.15">
      <c r="A25" s="986"/>
      <c r="B25" s="312" t="s">
        <v>996</v>
      </c>
      <c r="C25" s="696"/>
      <c r="D25" s="311"/>
      <c r="E25" s="309"/>
      <c r="F25" s="696"/>
    </row>
    <row r="26" spans="1:13" ht="15" customHeight="1" x14ac:dyDescent="0.15">
      <c r="A26" s="986"/>
      <c r="B26" s="309" t="s">
        <v>997</v>
      </c>
      <c r="C26" s="696"/>
      <c r="D26" s="311"/>
      <c r="E26" s="937" t="s">
        <v>988</v>
      </c>
      <c r="F26" s="963" t="s">
        <v>989</v>
      </c>
    </row>
    <row r="27" spans="1:13" ht="18" customHeight="1" thickBot="1" x14ac:dyDescent="0.2">
      <c r="A27" s="693"/>
      <c r="B27" s="309"/>
      <c r="C27" s="696"/>
      <c r="D27" s="311"/>
      <c r="E27" s="913" t="s">
        <v>538</v>
      </c>
      <c r="F27" s="964"/>
    </row>
    <row r="28" spans="1:13" ht="15" customHeight="1" thickBot="1" x14ac:dyDescent="0.2">
      <c r="A28" s="987">
        <f>100+(A25*100)+(A26*25)</f>
        <v>100</v>
      </c>
      <c r="B28" s="942" t="s">
        <v>998</v>
      </c>
      <c r="C28" s="948"/>
      <c r="D28" s="311"/>
      <c r="E28" s="913" t="s">
        <v>841</v>
      </c>
      <c r="F28" s="964"/>
    </row>
    <row r="29" spans="1:13" ht="15" customHeight="1" thickBot="1" x14ac:dyDescent="0.2">
      <c r="A29" s="988">
        <f>100+(A25*100)+(A26*35)</f>
        <v>100</v>
      </c>
      <c r="B29" s="949" t="s">
        <v>999</v>
      </c>
      <c r="C29" s="950"/>
      <c r="D29" s="311"/>
      <c r="E29" s="913" t="s">
        <v>540</v>
      </c>
      <c r="F29" s="966"/>
    </row>
    <row r="30" spans="1:13" ht="15" customHeight="1" x14ac:dyDescent="0.15">
      <c r="A30" s="705"/>
      <c r="B30" s="312"/>
      <c r="C30" s="309"/>
      <c r="D30" s="311"/>
      <c r="E30" s="913" t="s">
        <v>541</v>
      </c>
      <c r="F30" s="966"/>
    </row>
    <row r="31" spans="1:13" ht="20" customHeight="1" x14ac:dyDescent="0.15">
      <c r="A31" s="705"/>
      <c r="B31" s="309"/>
      <c r="C31" s="309"/>
      <c r="D31" s="311"/>
      <c r="E31" s="913" t="s">
        <v>539</v>
      </c>
      <c r="F31" s="966"/>
    </row>
    <row r="32" spans="1:13" ht="33" customHeight="1" x14ac:dyDescent="0.2">
      <c r="A32" s="1010" t="s">
        <v>116</v>
      </c>
      <c r="B32" s="369"/>
      <c r="C32" s="309"/>
      <c r="D32" s="311"/>
      <c r="E32" s="1011" t="s">
        <v>117</v>
      </c>
      <c r="F32" s="696"/>
      <c r="L32" s="370"/>
    </row>
    <row r="33" spans="1:20" ht="15" customHeight="1" x14ac:dyDescent="0.15">
      <c r="A33" s="693" t="s">
        <v>118</v>
      </c>
      <c r="B33" s="1411"/>
      <c r="C33" s="1411"/>
      <c r="D33" s="309"/>
      <c r="E33" s="309" t="s">
        <v>120</v>
      </c>
      <c r="F33" s="964"/>
      <c r="G33" s="371"/>
      <c r="H33" s="250"/>
      <c r="M33" s="371"/>
      <c r="N33" s="372"/>
    </row>
    <row r="34" spans="1:20" x14ac:dyDescent="0.15">
      <c r="A34" s="693" t="s">
        <v>119</v>
      </c>
      <c r="B34" s="1412"/>
      <c r="C34" s="1412"/>
      <c r="D34" s="309"/>
      <c r="E34" s="309" t="s">
        <v>534</v>
      </c>
      <c r="F34" s="966"/>
      <c r="G34" s="371"/>
      <c r="H34" s="250"/>
      <c r="I34" s="309"/>
      <c r="M34" s="371"/>
      <c r="N34" s="372"/>
    </row>
    <row r="35" spans="1:20" x14ac:dyDescent="0.15">
      <c r="A35" s="693" t="s">
        <v>120</v>
      </c>
      <c r="B35" s="1412"/>
      <c r="C35" s="1412"/>
      <c r="D35" s="309"/>
      <c r="E35" s="913" t="s">
        <v>520</v>
      </c>
      <c r="F35" s="967"/>
      <c r="G35" s="371"/>
      <c r="H35" s="250"/>
      <c r="I35" s="309"/>
      <c r="M35" s="371"/>
      <c r="N35" s="372"/>
    </row>
    <row r="36" spans="1:20" x14ac:dyDescent="0.15">
      <c r="A36" s="693" t="s">
        <v>534</v>
      </c>
      <c r="B36" s="1412"/>
      <c r="C36" s="1412"/>
      <c r="D36" s="309"/>
      <c r="E36" s="309" t="s">
        <v>885</v>
      </c>
      <c r="F36" s="966"/>
      <c r="G36" s="371"/>
      <c r="H36" s="250"/>
      <c r="M36" s="371"/>
      <c r="N36" s="372"/>
    </row>
    <row r="37" spans="1:20" x14ac:dyDescent="0.15">
      <c r="A37" s="693" t="s">
        <v>122</v>
      </c>
      <c r="B37" s="1412"/>
      <c r="C37" s="1412"/>
      <c r="D37" s="309"/>
      <c r="E37" s="933"/>
      <c r="F37" s="968"/>
      <c r="G37" s="371"/>
      <c r="H37" s="250"/>
      <c r="M37" s="371"/>
      <c r="N37" s="372"/>
    </row>
    <row r="38" spans="1:20" x14ac:dyDescent="0.15">
      <c r="A38" s="693" t="s">
        <v>124</v>
      </c>
      <c r="B38" s="1412"/>
      <c r="C38" s="1412"/>
      <c r="D38" s="309"/>
      <c r="E38" s="724" t="s">
        <v>945</v>
      </c>
      <c r="F38" s="969"/>
      <c r="G38" s="371"/>
      <c r="H38" s="250"/>
      <c r="M38" s="371"/>
      <c r="N38" s="372"/>
    </row>
    <row r="39" spans="1:20" ht="15" x14ac:dyDescent="0.2">
      <c r="A39" s="1435" t="s">
        <v>940</v>
      </c>
      <c r="B39" s="1436"/>
      <c r="C39" s="928"/>
      <c r="D39" s="309"/>
      <c r="E39" s="725"/>
      <c r="F39" s="970" t="s">
        <v>887</v>
      </c>
      <c r="G39" s="371"/>
      <c r="M39" s="371"/>
      <c r="N39" s="372"/>
    </row>
    <row r="40" spans="1:20" s="373" customFormat="1" x14ac:dyDescent="0.15">
      <c r="A40" s="971" t="s">
        <v>524</v>
      </c>
      <c r="B40" s="634"/>
      <c r="C40" s="726"/>
      <c r="D40" s="372"/>
      <c r="E40" s="725"/>
      <c r="F40" s="970" t="s">
        <v>886</v>
      </c>
      <c r="G40" s="371"/>
      <c r="M40" s="371"/>
      <c r="N40" s="372"/>
    </row>
    <row r="41" spans="1:20" ht="15" x14ac:dyDescent="0.15">
      <c r="A41" s="694" t="s">
        <v>522</v>
      </c>
      <c r="B41" s="634"/>
      <c r="C41" s="929"/>
      <c r="D41" s="311"/>
      <c r="E41" s="725"/>
      <c r="F41" s="972" t="s">
        <v>956</v>
      </c>
      <c r="M41" s="372"/>
      <c r="N41" s="372"/>
    </row>
    <row r="42" spans="1:20" ht="23.25" customHeight="1" x14ac:dyDescent="0.2">
      <c r="A42" s="694" t="s">
        <v>896</v>
      </c>
      <c r="B42" s="1434"/>
      <c r="C42" s="1434"/>
      <c r="D42" s="311"/>
      <c r="E42" s="1914"/>
      <c r="F42" s="1915"/>
      <c r="G42" s="635"/>
    </row>
    <row r="43" spans="1:20" ht="15" x14ac:dyDescent="0.15">
      <c r="A43" s="694"/>
      <c r="B43" s="634"/>
      <c r="C43" s="650"/>
      <c r="D43" s="311"/>
      <c r="E43" s="725"/>
      <c r="F43" s="972" t="s">
        <v>955</v>
      </c>
      <c r="K43" s="372"/>
      <c r="L43" s="372"/>
      <c r="M43" s="372"/>
      <c r="N43" s="372"/>
    </row>
    <row r="44" spans="1:20" ht="16" x14ac:dyDescent="0.2">
      <c r="A44" s="1012" t="s">
        <v>125</v>
      </c>
      <c r="B44" s="375"/>
      <c r="C44" s="309"/>
      <c r="D44" s="311"/>
      <c r="E44" s="884"/>
      <c r="F44" s="948" t="s">
        <v>906</v>
      </c>
      <c r="K44" s="372"/>
      <c r="L44" s="372"/>
      <c r="M44" s="372"/>
      <c r="N44" s="372"/>
    </row>
    <row r="45" spans="1:20" ht="15" x14ac:dyDescent="0.2">
      <c r="A45" s="693" t="s">
        <v>118</v>
      </c>
      <c r="B45" s="1411"/>
      <c r="C45" s="1440"/>
      <c r="D45" s="311"/>
      <c r="E45" s="309"/>
      <c r="F45" s="973"/>
      <c r="K45" s="372"/>
      <c r="L45" s="372"/>
      <c r="M45" s="372"/>
      <c r="N45" s="372"/>
      <c r="O45" s="623"/>
      <c r="P45" s="623"/>
      <c r="Q45" s="623"/>
      <c r="R45" s="623"/>
      <c r="S45" s="623"/>
      <c r="T45" s="623"/>
    </row>
    <row r="46" spans="1:20" ht="15" x14ac:dyDescent="0.2">
      <c r="A46" s="693" t="s">
        <v>119</v>
      </c>
      <c r="B46" s="1411"/>
      <c r="C46" s="1440"/>
      <c r="D46" s="311"/>
      <c r="E46" s="309"/>
      <c r="F46" s="967"/>
      <c r="K46" s="372"/>
      <c r="L46" s="372"/>
      <c r="M46" s="372"/>
      <c r="N46" s="372"/>
      <c r="O46" s="623"/>
      <c r="P46" s="623"/>
      <c r="Q46" s="623"/>
      <c r="R46" s="623"/>
      <c r="S46" s="623"/>
      <c r="T46" s="623"/>
    </row>
    <row r="47" spans="1:20" ht="15" x14ac:dyDescent="0.2">
      <c r="A47" s="693" t="s">
        <v>120</v>
      </c>
      <c r="B47" s="1412"/>
      <c r="C47" s="1448"/>
      <c r="D47" s="311"/>
      <c r="E47" s="974" t="s">
        <v>990</v>
      </c>
      <c r="F47" s="967"/>
      <c r="K47" s="372"/>
      <c r="L47" s="372"/>
      <c r="M47" s="372"/>
      <c r="N47" s="372"/>
      <c r="O47" s="623"/>
      <c r="P47" s="623"/>
      <c r="Q47" s="623"/>
      <c r="R47" s="623"/>
      <c r="S47" s="623"/>
      <c r="T47" s="623"/>
    </row>
    <row r="48" spans="1:20" ht="15" x14ac:dyDescent="0.2">
      <c r="A48" s="693" t="s">
        <v>121</v>
      </c>
      <c r="B48" s="1412"/>
      <c r="C48" s="1448"/>
      <c r="D48" s="311"/>
      <c r="E48" s="309" t="s">
        <v>884</v>
      </c>
      <c r="F48" s="975"/>
      <c r="K48" s="372"/>
      <c r="L48" s="372"/>
      <c r="M48" s="372"/>
      <c r="N48" s="372"/>
      <c r="O48" s="623"/>
      <c r="P48" s="623"/>
      <c r="Q48" s="623"/>
      <c r="R48" s="623"/>
      <c r="S48" s="623"/>
      <c r="T48" s="623"/>
    </row>
    <row r="49" spans="1:20" ht="15" x14ac:dyDescent="0.2">
      <c r="A49" s="693" t="s">
        <v>122</v>
      </c>
      <c r="B49" s="1412"/>
      <c r="C49" s="1448"/>
      <c r="D49" s="311"/>
      <c r="E49" s="309" t="s">
        <v>418</v>
      </c>
      <c r="F49" s="966"/>
      <c r="K49" s="372"/>
      <c r="L49" s="372"/>
      <c r="M49" s="372"/>
      <c r="N49" s="372"/>
      <c r="O49" s="623"/>
      <c r="P49" s="623"/>
      <c r="Q49" s="623"/>
      <c r="R49" s="623"/>
      <c r="S49" s="623"/>
      <c r="T49" s="623"/>
    </row>
    <row r="50" spans="1:20" ht="15" x14ac:dyDescent="0.2">
      <c r="A50" s="693" t="s">
        <v>123</v>
      </c>
      <c r="B50" s="1412"/>
      <c r="C50" s="1448"/>
      <c r="D50" s="311"/>
      <c r="E50" s="309" t="s">
        <v>120</v>
      </c>
      <c r="F50" s="966"/>
      <c r="K50" s="372"/>
      <c r="L50" s="372"/>
      <c r="M50" s="372"/>
      <c r="N50" s="372"/>
      <c r="O50" s="623"/>
      <c r="P50" s="623"/>
      <c r="Q50" s="623"/>
      <c r="R50" s="623"/>
      <c r="S50" s="623"/>
      <c r="T50" s="623"/>
    </row>
    <row r="51" spans="1:20" ht="15" x14ac:dyDescent="0.2">
      <c r="A51" s="693" t="s">
        <v>124</v>
      </c>
      <c r="B51" s="1412"/>
      <c r="C51" s="1448"/>
      <c r="D51" s="311"/>
      <c r="E51" s="309" t="s">
        <v>534</v>
      </c>
      <c r="F51" s="966"/>
      <c r="K51" s="372"/>
      <c r="L51" s="372"/>
      <c r="M51" s="372"/>
      <c r="N51" s="372"/>
      <c r="O51" s="623"/>
      <c r="P51" s="623"/>
      <c r="Q51" s="623"/>
      <c r="R51" s="623"/>
      <c r="S51" s="623"/>
      <c r="T51" s="623"/>
    </row>
    <row r="52" spans="1:20" ht="15" x14ac:dyDescent="0.2">
      <c r="A52" s="1446" t="s">
        <v>523</v>
      </c>
      <c r="B52" s="1447"/>
      <c r="C52" s="726"/>
      <c r="D52" s="311"/>
      <c r="E52" s="309" t="s">
        <v>122</v>
      </c>
      <c r="F52" s="966"/>
      <c r="K52" s="372"/>
      <c r="L52" s="372"/>
      <c r="M52" s="372"/>
      <c r="N52" s="372"/>
      <c r="O52" s="623"/>
      <c r="P52" s="623"/>
      <c r="Q52" s="623"/>
      <c r="R52" s="623"/>
      <c r="S52" s="623"/>
      <c r="T52" s="623"/>
    </row>
    <row r="53" spans="1:20" ht="32" customHeight="1" x14ac:dyDescent="0.2">
      <c r="A53" s="694" t="s">
        <v>539</v>
      </c>
      <c r="B53" s="1439"/>
      <c r="C53" s="1440"/>
      <c r="D53" s="691"/>
      <c r="E53" s="309" t="s">
        <v>124</v>
      </c>
      <c r="F53" s="976"/>
      <c r="G53" s="718"/>
      <c r="L53" s="372"/>
      <c r="M53" s="371"/>
      <c r="N53" s="371"/>
      <c r="O53" s="623"/>
      <c r="P53" s="623"/>
      <c r="Q53" s="623"/>
      <c r="R53" s="623"/>
      <c r="S53" s="623"/>
      <c r="T53" s="623"/>
    </row>
    <row r="54" spans="1:20" ht="54.75" customHeight="1" x14ac:dyDescent="0.2">
      <c r="A54" s="1444" t="s">
        <v>826</v>
      </c>
      <c r="B54" s="1445"/>
      <c r="C54" s="1445"/>
      <c r="D54" s="1445"/>
      <c r="E54" s="376" t="s">
        <v>126</v>
      </c>
      <c r="F54" s="964"/>
      <c r="G54" s="714"/>
      <c r="H54" s="309"/>
      <c r="L54" s="372"/>
      <c r="M54" s="371"/>
      <c r="N54" s="371"/>
      <c r="O54" s="623"/>
      <c r="P54" s="623"/>
      <c r="Q54" s="623"/>
      <c r="R54" s="623"/>
      <c r="S54" s="623"/>
      <c r="T54" s="623"/>
    </row>
    <row r="55" spans="1:20" ht="10.5" customHeight="1" thickBot="1" x14ac:dyDescent="0.2">
      <c r="A55" s="690"/>
      <c r="B55" s="706"/>
      <c r="C55" s="706"/>
      <c r="D55" s="706"/>
      <c r="E55" s="977"/>
      <c r="F55" s="978"/>
      <c r="K55" s="372"/>
      <c r="L55" s="372"/>
      <c r="M55" s="372"/>
      <c r="N55" s="372"/>
      <c r="O55" s="372"/>
      <c r="P55" s="372"/>
    </row>
    <row r="56" spans="1:20" x14ac:dyDescent="0.15">
      <c r="A56" s="984" t="s">
        <v>527</v>
      </c>
      <c r="B56" s="923"/>
      <c r="C56" s="923"/>
      <c r="D56" s="923"/>
      <c r="E56" s="923"/>
      <c r="F56" s="924"/>
      <c r="K56" s="372"/>
      <c r="L56" s="372"/>
      <c r="M56" s="372"/>
      <c r="N56" s="372"/>
      <c r="O56" s="372"/>
      <c r="P56" s="372"/>
    </row>
    <row r="57" spans="1:20" ht="15" x14ac:dyDescent="0.2">
      <c r="A57" s="1442" t="s">
        <v>528</v>
      </c>
      <c r="B57" s="1443"/>
      <c r="C57" s="1443"/>
      <c r="D57" s="1443"/>
      <c r="E57" s="377">
        <f>D71</f>
        <v>106</v>
      </c>
      <c r="F57" s="1441" t="s">
        <v>759</v>
      </c>
    </row>
    <row r="58" spans="1:20" ht="15" x14ac:dyDescent="0.2">
      <c r="A58" s="1442" t="s">
        <v>553</v>
      </c>
      <c r="B58" s="1443"/>
      <c r="C58" s="1443"/>
      <c r="D58" s="1443"/>
      <c r="E58" s="377">
        <f>D70</f>
        <v>99</v>
      </c>
      <c r="F58" s="1441"/>
    </row>
    <row r="59" spans="1:20" ht="15" x14ac:dyDescent="0.2">
      <c r="A59" s="1442" t="s">
        <v>554</v>
      </c>
      <c r="B59" s="1443"/>
      <c r="C59" s="1443"/>
      <c r="D59" s="1443"/>
      <c r="E59" s="377">
        <f>'7. Energy'!B49+'8. Water'!B62+'9. Lot Choice'!B41+'10. Site'!B36+'11. Health'!B58+'12. Materials'!B53+'13. Disaster Mitigation'!B56+'14. General'!B40</f>
        <v>99</v>
      </c>
      <c r="F59" s="1441"/>
    </row>
    <row r="60" spans="1:20" ht="7.5" customHeight="1" x14ac:dyDescent="0.15">
      <c r="A60" s="693"/>
      <c r="B60" s="309"/>
      <c r="C60" s="309"/>
      <c r="D60" s="309"/>
      <c r="E60" s="309"/>
      <c r="F60" s="696"/>
    </row>
    <row r="61" spans="1:20" ht="15" x14ac:dyDescent="0.2">
      <c r="A61" s="693"/>
      <c r="B61" s="378" t="s">
        <v>128</v>
      </c>
      <c r="C61" s="379"/>
      <c r="D61" s="380" t="s">
        <v>129</v>
      </c>
      <c r="E61" s="381"/>
      <c r="F61" s="697" t="s">
        <v>130</v>
      </c>
    </row>
    <row r="62" spans="1:20" ht="15" x14ac:dyDescent="0.2">
      <c r="A62" s="693"/>
      <c r="B62" s="153" t="s">
        <v>131</v>
      </c>
      <c r="C62" s="379"/>
      <c r="D62" s="770">
        <f>'7. Energy'!B51</f>
        <v>43</v>
      </c>
      <c r="E62" s="381"/>
      <c r="F62" s="698" t="s">
        <v>132</v>
      </c>
    </row>
    <row r="63" spans="1:20" ht="15" x14ac:dyDescent="0.2">
      <c r="A63" s="693"/>
      <c r="B63" s="153" t="s">
        <v>133</v>
      </c>
      <c r="C63" s="379"/>
      <c r="D63" s="770">
        <f>'8. Water'!B64</f>
        <v>12</v>
      </c>
      <c r="E63" s="381"/>
      <c r="F63" s="698" t="s">
        <v>134</v>
      </c>
    </row>
    <row r="64" spans="1:20" ht="15" x14ac:dyDescent="0.2">
      <c r="A64" s="693"/>
      <c r="B64" s="153" t="s">
        <v>135</v>
      </c>
      <c r="C64" s="153"/>
      <c r="D64" s="770">
        <f>'9. Lot Choice'!B43</f>
        <v>0</v>
      </c>
      <c r="E64" s="381"/>
      <c r="F64" s="698" t="s">
        <v>136</v>
      </c>
    </row>
    <row r="65" spans="1:12" ht="15" x14ac:dyDescent="0.2">
      <c r="A65" s="693"/>
      <c r="B65" s="153" t="s">
        <v>137</v>
      </c>
      <c r="C65" s="379"/>
      <c r="D65" s="770">
        <f>'10. Site'!B38</f>
        <v>4</v>
      </c>
      <c r="E65" s="381"/>
      <c r="F65" s="699" t="s">
        <v>138</v>
      </c>
    </row>
    <row r="66" spans="1:12" ht="15" x14ac:dyDescent="0.2">
      <c r="A66" s="693"/>
      <c r="B66" s="153" t="s">
        <v>139</v>
      </c>
      <c r="C66" s="379"/>
      <c r="D66" s="770">
        <f>'11. Health'!B60</f>
        <v>22</v>
      </c>
      <c r="E66" s="381"/>
      <c r="F66" s="698" t="s">
        <v>140</v>
      </c>
    </row>
    <row r="67" spans="1:12" ht="15" x14ac:dyDescent="0.2">
      <c r="A67" s="693"/>
      <c r="B67" s="153" t="s">
        <v>141</v>
      </c>
      <c r="C67" s="379"/>
      <c r="D67" s="770">
        <f>'12. Materials'!B55</f>
        <v>8</v>
      </c>
      <c r="E67" s="381"/>
      <c r="F67" s="699" t="s">
        <v>142</v>
      </c>
    </row>
    <row r="68" spans="1:12" ht="15" x14ac:dyDescent="0.2">
      <c r="A68" s="693"/>
      <c r="B68" s="153" t="s">
        <v>143</v>
      </c>
      <c r="C68" s="153"/>
      <c r="D68" s="770">
        <f>'13. Disaster Mitigation'!B58</f>
        <v>5</v>
      </c>
      <c r="E68" s="381"/>
      <c r="F68" s="699" t="s">
        <v>138</v>
      </c>
    </row>
    <row r="69" spans="1:12" ht="15" x14ac:dyDescent="0.2">
      <c r="A69" s="693"/>
      <c r="B69" s="153" t="s">
        <v>144</v>
      </c>
      <c r="C69" s="379"/>
      <c r="D69" s="770">
        <f>'14. General'!B42</f>
        <v>5</v>
      </c>
      <c r="E69" s="381"/>
      <c r="F69" s="698" t="s">
        <v>145</v>
      </c>
    </row>
    <row r="70" spans="1:12" ht="15" x14ac:dyDescent="0.2">
      <c r="A70" s="693"/>
      <c r="B70" s="379"/>
      <c r="C70" s="382" t="s">
        <v>146</v>
      </c>
      <c r="D70" s="940">
        <f>'4. SUMMARY'!E404</f>
        <v>99</v>
      </c>
      <c r="E70" s="381"/>
      <c r="F70" s="979"/>
    </row>
    <row r="71" spans="1:12" ht="15" x14ac:dyDescent="0.2">
      <c r="A71" s="693"/>
      <c r="B71" s="379"/>
      <c r="C71" s="915" t="s">
        <v>532</v>
      </c>
      <c r="D71" s="941">
        <f>'4. SUMMARY'!E405</f>
        <v>106</v>
      </c>
      <c r="E71" s="383"/>
      <c r="F71" s="979"/>
    </row>
    <row r="72" spans="1:12" ht="19" x14ac:dyDescent="0.25">
      <c r="A72" s="693"/>
      <c r="B72" s="379"/>
      <c r="C72" s="939" t="s">
        <v>993</v>
      </c>
      <c r="D72" s="772">
        <f>D87+100</f>
        <v>93</v>
      </c>
      <c r="E72" s="938"/>
      <c r="F72" s="979"/>
    </row>
    <row r="73" spans="1:12" ht="22.25" customHeight="1" thickBot="1" x14ac:dyDescent="0.3">
      <c r="A73" s="690"/>
      <c r="B73" s="700"/>
      <c r="C73" s="980" t="s">
        <v>4</v>
      </c>
      <c r="D73" s="981" t="str">
        <f>IF(D70=0," ",IF(D87&lt;=-1,"Not Certifiable",(IF(D87&lt;=30,"Bronze",(IF(D87&lt;=60,"Silver",(IF(D87&lt;=90,"Gold",(IF(D87&gt;=91,"Platinum",("""")))))))))))</f>
        <v>Not Certifiable</v>
      </c>
      <c r="E73" s="982"/>
      <c r="F73" s="983"/>
    </row>
    <row r="74" spans="1:12" ht="15" x14ac:dyDescent="0.2">
      <c r="A74" s="94"/>
      <c r="B74" s="94"/>
      <c r="D74" s="384"/>
      <c r="E74" s="94"/>
      <c r="G74" s="622"/>
      <c r="H74" s="389"/>
      <c r="I74" s="389"/>
      <c r="J74" s="391"/>
      <c r="K74" s="391"/>
      <c r="L74" s="389"/>
    </row>
    <row r="75" spans="1:12" s="386" customFormat="1" ht="15" x14ac:dyDescent="0.2">
      <c r="A75" s="621"/>
      <c r="B75" s="621"/>
      <c r="C75" s="620"/>
      <c r="D75" s="709"/>
      <c r="E75" s="621"/>
      <c r="F75" s="620"/>
      <c r="G75" s="387"/>
      <c r="H75" s="388"/>
      <c r="J75" s="385"/>
      <c r="K75" s="250"/>
    </row>
    <row r="76" spans="1:12" s="386" customFormat="1" ht="15" x14ac:dyDescent="0.2">
      <c r="A76" s="621"/>
      <c r="B76" s="710"/>
      <c r="C76" s="621"/>
      <c r="D76" s="621"/>
      <c r="E76" s="710"/>
      <c r="F76" s="621"/>
      <c r="G76" s="385"/>
      <c r="H76" s="388" t="s">
        <v>235</v>
      </c>
      <c r="I76" s="389">
        <v>0</v>
      </c>
      <c r="J76" s="385"/>
      <c r="K76" s="250"/>
    </row>
    <row r="77" spans="1:12" s="386" customFormat="1" ht="65.25" customHeight="1" x14ac:dyDescent="0.2">
      <c r="A77" s="621"/>
      <c r="B77" s="711"/>
      <c r="C77" s="385"/>
      <c r="D77" s="624"/>
      <c r="E77" s="932"/>
      <c r="F77" s="374"/>
      <c r="G77" s="385"/>
      <c r="H77" s="388" t="s">
        <v>236</v>
      </c>
      <c r="I77" s="389">
        <v>30</v>
      </c>
      <c r="J77" s="385"/>
      <c r="K77" s="367"/>
    </row>
    <row r="78" spans="1:12" s="386" customFormat="1" ht="15" x14ac:dyDescent="0.2">
      <c r="A78" s="620"/>
      <c r="B78" s="620"/>
      <c r="C78" s="386" t="s">
        <v>828</v>
      </c>
      <c r="D78" s="624"/>
      <c r="E78" s="933"/>
      <c r="F78" s="934"/>
      <c r="G78" s="385"/>
      <c r="H78" s="388" t="s">
        <v>237</v>
      </c>
      <c r="I78" s="389">
        <v>60</v>
      </c>
      <c r="K78" s="367"/>
    </row>
    <row r="79" spans="1:12" s="386" customFormat="1" ht="15" x14ac:dyDescent="0.2">
      <c r="A79" s="620"/>
      <c r="B79" s="620"/>
      <c r="C79" s="386" t="s">
        <v>829</v>
      </c>
      <c r="D79" s="624"/>
      <c r="E79" s="933"/>
      <c r="F79" s="934"/>
      <c r="G79" s="385"/>
      <c r="H79" s="388" t="s">
        <v>238</v>
      </c>
      <c r="I79" s="386">
        <v>90</v>
      </c>
      <c r="J79" s="390"/>
      <c r="K79" s="389"/>
    </row>
    <row r="80" spans="1:12" s="389" customFormat="1" ht="15" x14ac:dyDescent="0.2">
      <c r="A80" s="619"/>
      <c r="B80" s="619"/>
      <c r="C80" s="389" t="s">
        <v>830</v>
      </c>
      <c r="D80" s="624"/>
      <c r="E80" s="933"/>
      <c r="F80" s="935"/>
      <c r="G80" s="391"/>
      <c r="H80" s="388" t="s">
        <v>239</v>
      </c>
      <c r="I80" s="389">
        <v>91</v>
      </c>
      <c r="J80" s="392"/>
      <c r="K80" s="389" t="s">
        <v>22</v>
      </c>
    </row>
    <row r="81" spans="1:12" s="389" customFormat="1" ht="15" x14ac:dyDescent="0.2">
      <c r="A81" s="619"/>
      <c r="B81" s="619"/>
      <c r="C81" s="389" t="s">
        <v>831</v>
      </c>
      <c r="D81" s="624"/>
      <c r="E81" s="1437"/>
      <c r="F81" s="1438"/>
      <c r="G81" s="391"/>
      <c r="H81" s="391"/>
      <c r="J81" s="392"/>
      <c r="K81" s="389" t="s">
        <v>21</v>
      </c>
    </row>
    <row r="82" spans="1:12" s="389" customFormat="1" ht="15" x14ac:dyDescent="0.2">
      <c r="A82" s="619"/>
      <c r="B82" s="619"/>
      <c r="C82" s="389" t="s">
        <v>832</v>
      </c>
      <c r="D82" s="624"/>
      <c r="E82" s="933"/>
      <c r="F82" s="935"/>
      <c r="G82" s="391"/>
      <c r="H82" s="391"/>
      <c r="J82" s="393"/>
    </row>
    <row r="83" spans="1:12" s="389" customFormat="1" ht="15" x14ac:dyDescent="0.2">
      <c r="A83" s="619"/>
      <c r="B83" s="619"/>
      <c r="C83" s="389" t="s">
        <v>833</v>
      </c>
      <c r="D83" s="624"/>
      <c r="E83" s="936"/>
      <c r="F83" s="372"/>
      <c r="G83" s="394" t="s">
        <v>128</v>
      </c>
      <c r="H83" s="394" t="s">
        <v>223</v>
      </c>
      <c r="I83" s="394" t="s">
        <v>836</v>
      </c>
      <c r="J83" s="394" t="s">
        <v>225</v>
      </c>
      <c r="K83" s="389" t="s">
        <v>888</v>
      </c>
    </row>
    <row r="84" spans="1:12" s="389" customFormat="1" ht="15" x14ac:dyDescent="0.2">
      <c r="A84" s="619"/>
      <c r="B84" s="619"/>
      <c r="C84" s="389" t="s">
        <v>834</v>
      </c>
      <c r="D84" s="391">
        <f>IF('13. Disaster Mitigation'!B58&lt;5,5-'13. Disaster Mitigation'!B58,0)</f>
        <v>0</v>
      </c>
      <c r="E84" s="391"/>
      <c r="F84" s="619"/>
      <c r="G84" s="394" t="s">
        <v>226</v>
      </c>
      <c r="H84" s="395">
        <v>30</v>
      </c>
      <c r="I84" s="395">
        <f t="shared" ref="I84:I92" si="0">D62</f>
        <v>43</v>
      </c>
      <c r="J84" s="395">
        <v>75</v>
      </c>
      <c r="K84" s="389" t="s">
        <v>889</v>
      </c>
    </row>
    <row r="85" spans="1:12" s="389" customFormat="1" ht="15" x14ac:dyDescent="0.2">
      <c r="A85" s="619"/>
      <c r="B85" s="619"/>
      <c r="C85" s="389" t="s">
        <v>835</v>
      </c>
      <c r="D85" s="391">
        <f>IF('14. General'!B42&lt;0,0-'14. General'!B42,0)</f>
        <v>0</v>
      </c>
      <c r="E85" s="391"/>
      <c r="F85" s="619"/>
      <c r="G85" s="394" t="s">
        <v>227</v>
      </c>
      <c r="H85" s="395">
        <v>15</v>
      </c>
      <c r="I85" s="395">
        <f t="shared" si="0"/>
        <v>12</v>
      </c>
      <c r="J85" s="395">
        <v>40</v>
      </c>
    </row>
    <row r="86" spans="1:12" s="389" customFormat="1" ht="15" x14ac:dyDescent="0.2">
      <c r="A86" s="619"/>
      <c r="B86" s="619"/>
      <c r="D86" s="391"/>
      <c r="E86" s="391"/>
      <c r="F86" s="619"/>
      <c r="G86" s="394" t="s">
        <v>228</v>
      </c>
      <c r="H86" s="395">
        <v>0</v>
      </c>
      <c r="I86" s="395">
        <f t="shared" si="0"/>
        <v>0</v>
      </c>
      <c r="J86" s="395">
        <v>15</v>
      </c>
      <c r="K86" s="389" t="s">
        <v>18</v>
      </c>
    </row>
    <row r="87" spans="1:12" s="389" customFormat="1" ht="15" x14ac:dyDescent="0.2">
      <c r="A87" s="462"/>
      <c r="B87" s="712"/>
      <c r="C87" s="391"/>
      <c r="D87" s="391">
        <f>D70-D71</f>
        <v>-7</v>
      </c>
      <c r="F87" s="619"/>
      <c r="G87" s="394" t="s">
        <v>229</v>
      </c>
      <c r="H87" s="395">
        <v>5</v>
      </c>
      <c r="I87" s="395">
        <f t="shared" si="0"/>
        <v>4</v>
      </c>
      <c r="J87" s="395">
        <v>30</v>
      </c>
      <c r="K87" s="389" t="s">
        <v>19</v>
      </c>
    </row>
    <row r="88" spans="1:12" s="389" customFormat="1" ht="15" x14ac:dyDescent="0.2">
      <c r="A88" s="462"/>
      <c r="B88" s="712"/>
      <c r="C88" s="391"/>
      <c r="E88" s="390"/>
      <c r="F88" s="620"/>
      <c r="G88" s="394" t="s">
        <v>230</v>
      </c>
      <c r="H88" s="395">
        <v>15</v>
      </c>
      <c r="I88" s="395">
        <f t="shared" si="0"/>
        <v>22</v>
      </c>
      <c r="J88" s="395">
        <v>35</v>
      </c>
    </row>
    <row r="89" spans="1:12" s="389" customFormat="1" ht="15" x14ac:dyDescent="0.2">
      <c r="A89" s="462"/>
      <c r="B89" s="712"/>
      <c r="C89" s="391"/>
      <c r="D89" s="396"/>
      <c r="E89" s="396"/>
      <c r="F89" s="713"/>
      <c r="G89" s="394" t="s">
        <v>231</v>
      </c>
      <c r="H89" s="395">
        <v>10</v>
      </c>
      <c r="I89" s="395">
        <f t="shared" si="0"/>
        <v>8</v>
      </c>
      <c r="J89" s="395">
        <v>35</v>
      </c>
    </row>
    <row r="90" spans="1:12" s="389" customFormat="1" ht="15" x14ac:dyDescent="0.2">
      <c r="A90" s="462"/>
      <c r="B90" s="462"/>
      <c r="C90" s="462"/>
      <c r="D90" s="619"/>
      <c r="E90" s="619"/>
      <c r="F90" s="619"/>
      <c r="G90" s="394" t="s">
        <v>232</v>
      </c>
      <c r="H90" s="395">
        <v>5</v>
      </c>
      <c r="I90" s="395">
        <f t="shared" si="0"/>
        <v>5</v>
      </c>
      <c r="J90" s="395">
        <v>30</v>
      </c>
      <c r="K90" s="367"/>
    </row>
    <row r="91" spans="1:12" s="389" customFormat="1" ht="15" x14ac:dyDescent="0.2">
      <c r="A91" s="462"/>
      <c r="B91" s="462"/>
      <c r="C91" s="462"/>
      <c r="D91" s="619"/>
      <c r="E91" s="619"/>
      <c r="F91" s="619"/>
      <c r="G91" s="394" t="s">
        <v>233</v>
      </c>
      <c r="H91" s="395">
        <v>0</v>
      </c>
      <c r="I91" s="395">
        <f t="shared" si="0"/>
        <v>5</v>
      </c>
      <c r="J91" s="395">
        <v>40</v>
      </c>
      <c r="K91" s="367"/>
    </row>
    <row r="92" spans="1:12" s="389" customFormat="1" ht="15" x14ac:dyDescent="0.2">
      <c r="A92" s="619"/>
      <c r="B92" s="619"/>
      <c r="C92" s="619"/>
      <c r="D92" s="619"/>
      <c r="E92" s="619"/>
      <c r="F92" s="619"/>
      <c r="G92" s="394" t="s">
        <v>234</v>
      </c>
      <c r="H92" s="395">
        <f>D71</f>
        <v>106</v>
      </c>
      <c r="I92" s="395">
        <f t="shared" si="0"/>
        <v>99</v>
      </c>
      <c r="J92" s="395">
        <v>300</v>
      </c>
      <c r="K92" s="367"/>
    </row>
    <row r="93" spans="1:12" s="389" customFormat="1" x14ac:dyDescent="0.15">
      <c r="A93" s="619"/>
      <c r="B93" s="619"/>
      <c r="C93" s="619"/>
      <c r="D93" s="619"/>
      <c r="E93" s="619"/>
      <c r="F93" s="619"/>
      <c r="K93" s="367"/>
    </row>
    <row r="94" spans="1:12" x14ac:dyDescent="0.15">
      <c r="A94" s="619"/>
      <c r="B94" s="619"/>
      <c r="C94" s="619"/>
      <c r="D94" s="619"/>
      <c r="E94" s="619"/>
      <c r="F94" s="619"/>
      <c r="G94" s="389"/>
      <c r="H94" s="389"/>
      <c r="I94" s="389"/>
      <c r="J94" s="389"/>
      <c r="L94" s="389"/>
    </row>
    <row r="95" spans="1:12" x14ac:dyDescent="0.15">
      <c r="G95" s="389"/>
      <c r="H95" s="389"/>
      <c r="I95" s="389"/>
      <c r="J95" s="389"/>
      <c r="L95" s="389"/>
    </row>
    <row r="96" spans="1:12" x14ac:dyDescent="0.15">
      <c r="G96" s="389"/>
      <c r="H96" s="389"/>
      <c r="I96" s="389"/>
      <c r="J96" s="389"/>
      <c r="L96" s="389"/>
    </row>
    <row r="97" spans="7:12" x14ac:dyDescent="0.15">
      <c r="G97" s="389"/>
      <c r="H97" s="389"/>
      <c r="I97" s="389"/>
      <c r="J97" s="389"/>
      <c r="K97" s="389"/>
      <c r="L97" s="389"/>
    </row>
    <row r="98" spans="7:12" x14ac:dyDescent="0.15">
      <c r="G98" s="389"/>
      <c r="H98" s="389"/>
      <c r="I98" s="389"/>
      <c r="J98" s="389"/>
      <c r="K98" s="389"/>
      <c r="L98" s="389"/>
    </row>
    <row r="99" spans="7:12" x14ac:dyDescent="0.15">
      <c r="G99" s="389"/>
      <c r="H99" s="389"/>
      <c r="I99" s="389"/>
      <c r="J99" s="389"/>
      <c r="K99" s="389"/>
      <c r="L99" s="389"/>
    </row>
    <row r="100" spans="7:12" x14ac:dyDescent="0.15">
      <c r="G100" s="389"/>
      <c r="H100" s="389"/>
      <c r="I100" s="389"/>
      <c r="J100" s="389"/>
      <c r="K100" s="389"/>
      <c r="L100" s="389"/>
    </row>
    <row r="101" spans="7:12" x14ac:dyDescent="0.15">
      <c r="G101" s="389"/>
      <c r="H101" s="389"/>
      <c r="I101" s="389"/>
      <c r="J101" s="389"/>
      <c r="K101" s="389"/>
      <c r="L101" s="389"/>
    </row>
    <row r="102" spans="7:12" x14ac:dyDescent="0.15">
      <c r="G102" s="389"/>
      <c r="H102" s="389"/>
      <c r="I102" s="389"/>
      <c r="J102" s="389"/>
      <c r="K102" s="389"/>
      <c r="L102" s="389"/>
    </row>
  </sheetData>
  <sheetProtection algorithmName="SHA-512" hashValue="BLY1exPAbTQLMOJtwXjjZsc3oLbrSSKnPW1VJzI7pcVLIw7jJNtO3jJQY+ywtPLR0WJxHeFC+Du02g++AZNFiw==" saltValue="tX5J5Bn0mJIcIyqrpmnKDA==" spinCount="100000" sheet="1" objects="1" scenarios="1"/>
  <mergeCells count="34">
    <mergeCell ref="E81:F81"/>
    <mergeCell ref="B53:C53"/>
    <mergeCell ref="A54:D54"/>
    <mergeCell ref="A57:D57"/>
    <mergeCell ref="F57:F59"/>
    <mergeCell ref="A58:D58"/>
    <mergeCell ref="A59:D59"/>
    <mergeCell ref="A52:B52"/>
    <mergeCell ref="B38:C38"/>
    <mergeCell ref="A39:B39"/>
    <mergeCell ref="B42:C42"/>
    <mergeCell ref="E42:F42"/>
    <mergeCell ref="B45:C45"/>
    <mergeCell ref="B46:C46"/>
    <mergeCell ref="B47:C47"/>
    <mergeCell ref="B48:C48"/>
    <mergeCell ref="B49:C49"/>
    <mergeCell ref="B50:C50"/>
    <mergeCell ref="B51:C51"/>
    <mergeCell ref="K14:M14"/>
    <mergeCell ref="B33:C33"/>
    <mergeCell ref="B34:C34"/>
    <mergeCell ref="B35:C35"/>
    <mergeCell ref="B36:C36"/>
    <mergeCell ref="B37:C37"/>
    <mergeCell ref="A1:F1"/>
    <mergeCell ref="A2:F2"/>
    <mergeCell ref="A4:F4"/>
    <mergeCell ref="A5:F5"/>
    <mergeCell ref="A10:F10"/>
    <mergeCell ref="A11:F11"/>
    <mergeCell ref="A3:F3"/>
    <mergeCell ref="B17:C17"/>
    <mergeCell ref="B18:C18"/>
  </mergeCells>
  <dataValidations disablePrompts="1" count="3">
    <dataValidation type="list" allowBlank="1" showInputMessage="1" showErrorMessage="1" sqref="E39" xr:uid="{00000000-0002-0000-1400-000000000000}">
      <formula1>$K$79:$K$81</formula1>
    </dataValidation>
    <dataValidation type="list" allowBlank="1" showInputMessage="1" showErrorMessage="1" sqref="E40" xr:uid="{00000000-0002-0000-1400-000001000000}">
      <formula1>$K$82:$K$84</formula1>
    </dataValidation>
    <dataValidation type="list" allowBlank="1" showInputMessage="1" showErrorMessage="1" sqref="E41" xr:uid="{00000000-0002-0000-1400-000002000000}">
      <formula1>$K$85:$K$87</formula1>
    </dataValidation>
  </dataValidations>
  <hyperlinks>
    <hyperlink ref="A11" r:id="rId1" xr:uid="{00000000-0004-0000-1400-000000000000}"/>
    <hyperlink ref="E26" r:id="rId2" display="Pay Online or Authorize Credit Card Here: (Visa/MC/AX)" xr:uid="{00000000-0004-0000-1400-000001000000}"/>
  </hyperlinks>
  <printOptions horizontalCentered="1"/>
  <pageMargins left="0.2" right="0.2" top="0.75" bottom="0.36" header="0.3" footer="0.05"/>
  <pageSetup scale="57" orientation="portrait" cellComments="asDisplayed" r:id="rId3"/>
  <headerFooter>
    <oddHeader>&amp;C&amp;G</oddHeader>
    <oddFooter>&amp;C&amp;9&amp;K0070C0The FGBC Green Home Standard is endorsed by the Florida Home Builders Association &amp;G</oddFooter>
  </headerFooter>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Q439"/>
  <sheetViews>
    <sheetView topLeftCell="A321" zoomScale="85" zoomScaleNormal="85" zoomScalePageLayoutView="85" workbookViewId="0">
      <selection activeCell="F400" sqref="F400"/>
    </sheetView>
  </sheetViews>
  <sheetFormatPr baseColWidth="10" defaultColWidth="8.6640625" defaultRowHeight="15" x14ac:dyDescent="0.2"/>
  <cols>
    <col min="1" max="2" width="8.6640625" style="4"/>
    <col min="3" max="3" width="9.1640625" style="4" customWidth="1"/>
    <col min="4" max="4" width="8.6640625" style="4"/>
    <col min="5" max="5" width="9.1640625" style="4" customWidth="1"/>
    <col min="6" max="6" width="17.5" style="4" bestFit="1" customWidth="1"/>
    <col min="7" max="7" width="18.1640625" style="4" bestFit="1" customWidth="1"/>
    <col min="8" max="8" width="18.1640625" style="4" customWidth="1"/>
    <col min="9" max="10" width="8.6640625" style="4"/>
    <col min="11" max="11" width="8.6640625" style="14"/>
    <col min="12" max="12" width="10.1640625" style="14" customWidth="1"/>
    <col min="13" max="13" width="11" style="296" customWidth="1"/>
    <col min="14" max="14" width="12.5" style="14" customWidth="1"/>
    <col min="15" max="17" width="8.6640625" style="14"/>
    <col min="18" max="16384" width="8.6640625" style="4"/>
  </cols>
  <sheetData>
    <row r="2" spans="2:10" ht="30" x14ac:dyDescent="0.3">
      <c r="B2" s="252" t="str">
        <f>'1. Instructions'!B1</f>
        <v xml:space="preserve">Florida Green Home Standard </v>
      </c>
      <c r="C2" s="251"/>
      <c r="D2" s="251"/>
      <c r="E2" s="251"/>
      <c r="F2" s="251"/>
      <c r="G2" s="251"/>
      <c r="H2" s="251"/>
    </row>
    <row r="3" spans="2:10" ht="25" x14ac:dyDescent="0.25">
      <c r="B3" s="253" t="str">
        <f>'1. Instructions'!B2</f>
        <v>Version 12 Rev 1.0</v>
      </c>
      <c r="C3" s="251"/>
      <c r="D3" s="251"/>
      <c r="E3" s="251"/>
      <c r="F3" s="251"/>
      <c r="G3" s="251"/>
      <c r="H3" s="251"/>
    </row>
    <row r="4" spans="2:10" x14ac:dyDescent="0.2">
      <c r="B4" s="254" t="e">
        <f>'1. Instructions'!#REF!</f>
        <v>#REF!</v>
      </c>
      <c r="C4" s="255"/>
      <c r="D4" s="255"/>
      <c r="E4" s="255"/>
      <c r="F4" s="255"/>
      <c r="G4" s="255"/>
      <c r="H4" s="255"/>
    </row>
    <row r="5" spans="2:10" x14ac:dyDescent="0.2">
      <c r="B5" s="254" t="str">
        <f>'1. Instructions'!B4</f>
        <v>Effective January 1, 2021 (Required January 1, 2022)</v>
      </c>
      <c r="C5" s="256"/>
      <c r="D5" s="256"/>
      <c r="E5" s="256"/>
      <c r="F5" s="256"/>
      <c r="G5" s="256"/>
      <c r="H5" s="256"/>
    </row>
    <row r="6" spans="2:10" x14ac:dyDescent="0.2">
      <c r="B6" s="254">
        <f>'1. Instructions'!A5</f>
        <v>0</v>
      </c>
      <c r="C6" s="255"/>
      <c r="D6" s="255"/>
      <c r="E6" s="255"/>
      <c r="F6" s="255"/>
      <c r="G6" s="255"/>
      <c r="H6" s="255"/>
    </row>
    <row r="7" spans="2:10" ht="15.75" customHeight="1" x14ac:dyDescent="0.2">
      <c r="C7" s="78" t="s">
        <v>5</v>
      </c>
      <c r="D7" s="78"/>
      <c r="E7" s="78"/>
      <c r="F7" s="78"/>
      <c r="G7" s="52"/>
    </row>
    <row r="8" spans="2:10" ht="17" x14ac:dyDescent="0.2">
      <c r="C8" s="79" t="str">
        <f>'6. Pre-requisites'!B6</f>
        <v>N/A</v>
      </c>
      <c r="D8" s="1395" t="s">
        <v>8</v>
      </c>
      <c r="E8" s="1395"/>
      <c r="F8" s="1395"/>
      <c r="G8" s="1395"/>
      <c r="H8" s="76"/>
      <c r="I8" s="56"/>
      <c r="J8" s="56"/>
    </row>
    <row r="9" spans="2:10" ht="17" x14ac:dyDescent="0.2">
      <c r="C9" s="79" t="str">
        <f>'6. Pre-requisites'!B7</f>
        <v>N/A</v>
      </c>
      <c r="D9" s="1386" t="s">
        <v>10</v>
      </c>
      <c r="E9" s="1386"/>
      <c r="F9" s="51"/>
      <c r="G9" s="52"/>
    </row>
    <row r="10" spans="2:10" ht="16" x14ac:dyDescent="0.2">
      <c r="C10" s="80" t="str">
        <f>'6. Pre-requisites'!B8</f>
        <v>N/A</v>
      </c>
      <c r="D10" s="1386" t="s">
        <v>12</v>
      </c>
      <c r="E10" s="1386"/>
      <c r="F10" s="1386"/>
      <c r="G10" s="52"/>
    </row>
    <row r="11" spans="2:10" ht="16" x14ac:dyDescent="0.2">
      <c r="C11" s="80" t="str">
        <f>'6. Pre-requisites'!B9</f>
        <v>N/A</v>
      </c>
      <c r="D11" s="1386" t="s">
        <v>14</v>
      </c>
      <c r="E11" s="1386"/>
      <c r="F11" s="1386"/>
      <c r="G11" s="52"/>
    </row>
    <row r="12" spans="2:10" ht="16" x14ac:dyDescent="0.2">
      <c r="C12" s="80" t="e">
        <f>'6. Pre-requisites'!#REF!</f>
        <v>#REF!</v>
      </c>
      <c r="D12" s="1386" t="s">
        <v>16</v>
      </c>
      <c r="E12" s="1386"/>
      <c r="F12" s="1386"/>
      <c r="G12" s="52"/>
    </row>
    <row r="13" spans="2:10" ht="16" x14ac:dyDescent="0.2">
      <c r="C13" s="49"/>
      <c r="D13" s="50"/>
      <c r="E13" s="179"/>
      <c r="F13" s="179"/>
      <c r="G13" s="52"/>
    </row>
    <row r="14" spans="2:10" ht="16" x14ac:dyDescent="0.2">
      <c r="C14" s="48" t="s">
        <v>6</v>
      </c>
      <c r="D14" s="48"/>
      <c r="E14" s="48"/>
      <c r="F14" s="48"/>
      <c r="G14" s="52"/>
    </row>
    <row r="15" spans="2:10" ht="15.75" customHeight="1" x14ac:dyDescent="0.2">
      <c r="C15" s="80" t="str">
        <f>'6. Pre-requisites'!B13</f>
        <v>N/A</v>
      </c>
      <c r="D15" s="49" t="s">
        <v>9</v>
      </c>
      <c r="E15" s="49"/>
      <c r="F15" s="49"/>
      <c r="G15" s="49"/>
      <c r="I15" s="66"/>
      <c r="J15" s="58"/>
    </row>
    <row r="16" spans="2:10" ht="17" x14ac:dyDescent="0.2">
      <c r="C16" s="81" t="str">
        <f>'6. Pre-requisites'!B14</f>
        <v>N/A</v>
      </c>
      <c r="D16" s="1398" t="s">
        <v>475</v>
      </c>
      <c r="E16" s="1398"/>
      <c r="F16" s="1398"/>
      <c r="G16" s="1398"/>
      <c r="H16" s="1398"/>
    </row>
    <row r="17" spans="3:10" ht="17" x14ac:dyDescent="0.2">
      <c r="C17" s="81" t="str">
        <f>'6. Pre-requisites'!B15</f>
        <v>N/A</v>
      </c>
      <c r="D17" s="82" t="s">
        <v>13</v>
      </c>
      <c r="E17" s="82"/>
      <c r="F17" s="82"/>
      <c r="G17" s="82"/>
      <c r="I17" s="61"/>
      <c r="J17" s="61"/>
    </row>
    <row r="18" spans="3:10" ht="17" x14ac:dyDescent="0.2">
      <c r="C18" s="81" t="str">
        <f>'6. Pre-requisites'!B16</f>
        <v>N/A</v>
      </c>
      <c r="D18" s="83" t="s">
        <v>15</v>
      </c>
      <c r="E18" s="83"/>
      <c r="F18" s="83"/>
      <c r="G18" s="83"/>
      <c r="I18" s="30"/>
      <c r="J18" s="30"/>
    </row>
    <row r="19" spans="3:10" x14ac:dyDescent="0.2">
      <c r="I19" s="30"/>
      <c r="J19" s="30"/>
    </row>
    <row r="20" spans="3:10" ht="16" x14ac:dyDescent="0.2">
      <c r="C20" s="1399" t="s">
        <v>17</v>
      </c>
      <c r="D20" s="1399"/>
      <c r="E20" s="1399"/>
      <c r="F20" s="1399"/>
      <c r="G20" s="1399"/>
      <c r="I20" s="30"/>
      <c r="J20" s="30"/>
    </row>
    <row r="21" spans="3:10" ht="16" x14ac:dyDescent="0.2">
      <c r="C21" s="59" t="str">
        <f>'6. Pre-requisites'!B19</f>
        <v>N/A</v>
      </c>
      <c r="D21" s="242" t="s">
        <v>442</v>
      </c>
      <c r="E21" s="49"/>
      <c r="F21" s="49"/>
      <c r="G21" s="49"/>
      <c r="I21" s="30"/>
      <c r="J21" s="30"/>
    </row>
    <row r="22" spans="3:10" x14ac:dyDescent="0.2">
      <c r="I22" s="30"/>
      <c r="J22" s="30"/>
    </row>
    <row r="23" spans="3:10" x14ac:dyDescent="0.2">
      <c r="I23" s="30"/>
      <c r="J23" s="30"/>
    </row>
    <row r="24" spans="3:10" x14ac:dyDescent="0.2">
      <c r="I24" s="30"/>
      <c r="J24" s="30"/>
    </row>
    <row r="25" spans="3:10" x14ac:dyDescent="0.2">
      <c r="I25" s="30"/>
      <c r="J25" s="30"/>
    </row>
    <row r="26" spans="3:10" x14ac:dyDescent="0.2">
      <c r="I26" s="30"/>
      <c r="J26" s="30"/>
    </row>
    <row r="27" spans="3:10" x14ac:dyDescent="0.2">
      <c r="I27" s="30"/>
      <c r="J27" s="30"/>
    </row>
    <row r="28" spans="3:10" x14ac:dyDescent="0.2">
      <c r="I28" s="30"/>
      <c r="J28" s="30"/>
    </row>
    <row r="29" spans="3:10" x14ac:dyDescent="0.2">
      <c r="I29" s="30"/>
      <c r="J29" s="30"/>
    </row>
    <row r="30" spans="3:10" x14ac:dyDescent="0.2">
      <c r="I30" s="30"/>
      <c r="J30" s="30"/>
    </row>
    <row r="31" spans="3:10" x14ac:dyDescent="0.2">
      <c r="I31" s="30"/>
      <c r="J31" s="30"/>
    </row>
    <row r="32" spans="3:10" x14ac:dyDescent="0.2">
      <c r="I32" s="30"/>
      <c r="J32" s="30"/>
    </row>
    <row r="33" spans="2:10" x14ac:dyDescent="0.2">
      <c r="I33" s="30"/>
      <c r="J33" s="30"/>
    </row>
    <row r="34" spans="2:10" x14ac:dyDescent="0.2">
      <c r="I34" s="61"/>
      <c r="J34" s="61"/>
    </row>
    <row r="35" spans="2:10" x14ac:dyDescent="0.2">
      <c r="I35" s="30"/>
      <c r="J35" s="30"/>
    </row>
    <row r="36" spans="2:10" x14ac:dyDescent="0.2">
      <c r="I36" s="30"/>
      <c r="J36" s="30"/>
    </row>
    <row r="37" spans="2:10" x14ac:dyDescent="0.2">
      <c r="I37" s="30"/>
      <c r="J37" s="30"/>
    </row>
    <row r="38" spans="2:10" x14ac:dyDescent="0.2">
      <c r="B38" s="1373"/>
      <c r="C38" s="1373"/>
      <c r="D38" s="1373"/>
      <c r="E38" s="1373"/>
      <c r="F38" s="1373"/>
      <c r="G38" s="1373"/>
      <c r="H38" s="1373"/>
      <c r="I38" s="30"/>
      <c r="J38" s="30"/>
    </row>
    <row r="39" spans="2:10" x14ac:dyDescent="0.2">
      <c r="B39" s="1373"/>
      <c r="C39" s="1373"/>
      <c r="D39" s="1373"/>
      <c r="E39" s="1373"/>
      <c r="F39" s="1373"/>
      <c r="G39" s="1373"/>
      <c r="H39" s="1373"/>
      <c r="I39" s="30"/>
      <c r="J39" s="30"/>
    </row>
    <row r="40" spans="2:10" ht="16" x14ac:dyDescent="0.2">
      <c r="B40" s="53" t="s">
        <v>26</v>
      </c>
      <c r="C40" s="54"/>
      <c r="D40" s="55"/>
      <c r="E40" s="56"/>
      <c r="F40" s="56"/>
      <c r="G40" s="56"/>
      <c r="H40" s="56"/>
      <c r="I40" s="30"/>
      <c r="J40" s="30"/>
    </row>
    <row r="41" spans="2:10" ht="16" x14ac:dyDescent="0.2">
      <c r="B41" s="184" t="s">
        <v>148</v>
      </c>
      <c r="C41" s="174"/>
      <c r="D41" s="174"/>
      <c r="E41" s="174"/>
      <c r="F41" s="174"/>
      <c r="I41" s="30"/>
      <c r="J41" s="30"/>
    </row>
    <row r="42" spans="2:10" x14ac:dyDescent="0.2">
      <c r="I42" s="30"/>
      <c r="J42" s="30"/>
    </row>
    <row r="43" spans="2:10" x14ac:dyDescent="0.2">
      <c r="B43" s="15" t="s">
        <v>28</v>
      </c>
      <c r="C43" s="15" t="s">
        <v>28</v>
      </c>
      <c r="D43" s="14"/>
      <c r="I43" s="30"/>
      <c r="J43" s="30"/>
    </row>
    <row r="44" spans="2:10" x14ac:dyDescent="0.2">
      <c r="B44" s="15" t="s">
        <v>29</v>
      </c>
      <c r="C44" s="15" t="s">
        <v>30</v>
      </c>
      <c r="D44" s="14"/>
      <c r="E44" s="14" t="s">
        <v>31</v>
      </c>
      <c r="I44" s="30"/>
      <c r="J44" s="30"/>
    </row>
    <row r="45" spans="2:10" x14ac:dyDescent="0.2">
      <c r="B45" s="15"/>
      <c r="C45" s="15"/>
      <c r="D45" s="14"/>
      <c r="E45" s="14"/>
    </row>
    <row r="46" spans="2:10" x14ac:dyDescent="0.2">
      <c r="B46" s="180" t="s">
        <v>27</v>
      </c>
      <c r="C46" s="180"/>
      <c r="D46" s="180"/>
      <c r="E46" s="180"/>
    </row>
    <row r="47" spans="2:10" x14ac:dyDescent="0.2">
      <c r="B47" s="84">
        <f>'7. Energy'!B5</f>
        <v>30</v>
      </c>
      <c r="C47" s="176" t="s">
        <v>440</v>
      </c>
      <c r="D47" s="66" t="s">
        <v>66</v>
      </c>
      <c r="E47" s="66"/>
      <c r="F47" s="66"/>
      <c r="G47" s="66"/>
      <c r="H47" s="66"/>
      <c r="I47" s="62"/>
    </row>
    <row r="48" spans="2:10" x14ac:dyDescent="0.2">
      <c r="B48" s="180" t="s">
        <v>34</v>
      </c>
      <c r="C48" s="180"/>
      <c r="D48" s="180"/>
      <c r="E48" s="180"/>
    </row>
    <row r="49" spans="2:12" x14ac:dyDescent="0.2">
      <c r="B49" s="84">
        <f>'7. Energy'!B12</f>
        <v>1</v>
      </c>
      <c r="C49" s="38">
        <v>1</v>
      </c>
      <c r="D49" s="181" t="s">
        <v>35</v>
      </c>
      <c r="E49" s="181"/>
      <c r="F49" s="181"/>
      <c r="G49" s="181"/>
      <c r="H49" s="188"/>
      <c r="I49" s="63"/>
      <c r="J49" s="63"/>
    </row>
    <row r="50" spans="2:12" x14ac:dyDescent="0.2">
      <c r="B50" s="84">
        <f>'7. Energy'!B13</f>
        <v>1</v>
      </c>
      <c r="C50" s="38">
        <v>1</v>
      </c>
      <c r="D50" s="182" t="s">
        <v>36</v>
      </c>
      <c r="E50" s="182"/>
      <c r="F50" s="182"/>
      <c r="G50" s="182"/>
      <c r="H50" s="182"/>
      <c r="I50" s="63"/>
      <c r="J50" s="63"/>
    </row>
    <row r="51" spans="2:12" x14ac:dyDescent="0.2">
      <c r="B51" s="84">
        <f>'7. Energy'!B15</f>
        <v>0</v>
      </c>
      <c r="C51" s="38">
        <v>1</v>
      </c>
      <c r="D51" s="238" t="s">
        <v>476</v>
      </c>
      <c r="E51" s="182"/>
      <c r="F51" s="182"/>
      <c r="G51" s="182"/>
      <c r="H51" s="182"/>
      <c r="I51" s="63"/>
      <c r="J51" s="63"/>
    </row>
    <row r="52" spans="2:12" ht="16" x14ac:dyDescent="0.2">
      <c r="B52" s="84">
        <f>'7. Energy'!B16</f>
        <v>1</v>
      </c>
      <c r="C52" s="38">
        <v>1</v>
      </c>
      <c r="D52" s="238" t="s">
        <v>477</v>
      </c>
      <c r="E52" s="182"/>
      <c r="F52" s="182"/>
      <c r="G52" s="182"/>
      <c r="H52" s="182"/>
    </row>
    <row r="53" spans="2:12" x14ac:dyDescent="0.2">
      <c r="B53" s="84">
        <f>'7. Energy'!B17</f>
        <v>0</v>
      </c>
      <c r="C53" s="38">
        <v>1</v>
      </c>
      <c r="D53" s="182" t="s">
        <v>38</v>
      </c>
      <c r="E53" s="182"/>
      <c r="F53" s="182"/>
      <c r="G53" s="182"/>
      <c r="H53" s="182"/>
      <c r="I53" s="92"/>
      <c r="J53" s="92"/>
      <c r="K53" s="93"/>
      <c r="L53" s="93"/>
    </row>
    <row r="54" spans="2:12" x14ac:dyDescent="0.2">
      <c r="B54" s="84">
        <f>'7. Energy'!B18</f>
        <v>0</v>
      </c>
      <c r="C54" s="38">
        <v>1</v>
      </c>
      <c r="D54" s="182" t="s">
        <v>39</v>
      </c>
      <c r="E54" s="182"/>
      <c r="F54" s="182"/>
      <c r="G54" s="182"/>
      <c r="H54" s="182"/>
      <c r="I54" s="94"/>
      <c r="J54" s="94"/>
      <c r="K54" s="18"/>
      <c r="L54" s="18"/>
    </row>
    <row r="55" spans="2:12" x14ac:dyDescent="0.2">
      <c r="B55" s="84">
        <f>'7. Energy'!B19</f>
        <v>0</v>
      </c>
      <c r="C55" s="38">
        <v>1</v>
      </c>
      <c r="D55" s="182" t="s">
        <v>40</v>
      </c>
      <c r="E55" s="182"/>
      <c r="F55" s="182"/>
      <c r="G55" s="182"/>
      <c r="H55" s="182"/>
      <c r="I55" s="94"/>
      <c r="J55" s="94"/>
      <c r="K55" s="18"/>
      <c r="L55" s="18"/>
    </row>
    <row r="56" spans="2:12" x14ac:dyDescent="0.2">
      <c r="B56" s="85">
        <f>'7. Energy'!B20</f>
        <v>0</v>
      </c>
      <c r="C56" s="178" t="s">
        <v>41</v>
      </c>
      <c r="D56" s="182" t="s">
        <v>42</v>
      </c>
      <c r="E56" s="182"/>
      <c r="F56" s="182"/>
      <c r="G56" s="182"/>
      <c r="H56" s="182"/>
      <c r="I56" s="97"/>
      <c r="J56" s="97"/>
      <c r="K56" s="19"/>
      <c r="L56" s="19"/>
    </row>
    <row r="57" spans="2:12" x14ac:dyDescent="0.2">
      <c r="B57" s="84">
        <f>'7. Energy'!B22</f>
        <v>0</v>
      </c>
      <c r="C57" s="38">
        <v>1</v>
      </c>
      <c r="D57" s="182" t="s">
        <v>44</v>
      </c>
      <c r="E57" s="182"/>
      <c r="F57" s="182"/>
      <c r="G57" s="182"/>
      <c r="H57" s="182"/>
      <c r="I57" s="100"/>
      <c r="J57" s="100"/>
      <c r="K57" s="100"/>
      <c r="L57" s="100"/>
    </row>
    <row r="58" spans="2:12" x14ac:dyDescent="0.2">
      <c r="B58" s="84">
        <f>'7. Energy'!B23</f>
        <v>0</v>
      </c>
      <c r="C58" s="38">
        <v>1</v>
      </c>
      <c r="D58" s="182" t="s">
        <v>45</v>
      </c>
      <c r="E58" s="182"/>
      <c r="F58" s="182"/>
      <c r="G58" s="182"/>
      <c r="H58" s="185"/>
      <c r="I58" s="103"/>
      <c r="J58" s="103"/>
      <c r="K58" s="103"/>
      <c r="L58" s="103"/>
    </row>
    <row r="59" spans="2:12" x14ac:dyDescent="0.2">
      <c r="B59" s="84">
        <f>'7. Energy'!B24</f>
        <v>0</v>
      </c>
      <c r="C59" s="38">
        <v>1</v>
      </c>
      <c r="D59" s="182" t="s">
        <v>46</v>
      </c>
      <c r="E59" s="182"/>
      <c r="F59" s="182"/>
      <c r="G59" s="185"/>
      <c r="H59" s="185"/>
      <c r="I59" s="103"/>
      <c r="J59" s="103"/>
      <c r="K59" s="103"/>
      <c r="L59" s="103"/>
    </row>
    <row r="60" spans="2:12" x14ac:dyDescent="0.2">
      <c r="B60" s="84">
        <f>'7. Energy'!B26</f>
        <v>2</v>
      </c>
      <c r="C60" s="178" t="s">
        <v>47</v>
      </c>
      <c r="D60" s="182" t="s">
        <v>48</v>
      </c>
      <c r="E60" s="182"/>
      <c r="F60" s="182"/>
      <c r="G60" s="182"/>
      <c r="H60" s="182"/>
      <c r="I60" s="103"/>
      <c r="J60" s="103"/>
      <c r="K60" s="103"/>
      <c r="L60" s="103"/>
    </row>
    <row r="61" spans="2:12" x14ac:dyDescent="0.2">
      <c r="B61" s="84">
        <f>'7. Energy'!B31</f>
        <v>1</v>
      </c>
      <c r="C61" s="38">
        <v>1</v>
      </c>
      <c r="D61" s="182" t="s">
        <v>50</v>
      </c>
      <c r="E61" s="182"/>
      <c r="F61" s="182"/>
      <c r="G61" s="185"/>
      <c r="H61" s="185"/>
      <c r="I61" s="103"/>
      <c r="J61" s="103"/>
      <c r="K61" s="103"/>
      <c r="L61" s="103"/>
    </row>
    <row r="62" spans="2:12" x14ac:dyDescent="0.2">
      <c r="B62" s="84" t="e">
        <f>'7. Energy'!#REF!</f>
        <v>#REF!</v>
      </c>
      <c r="C62" s="38">
        <v>1</v>
      </c>
      <c r="D62" s="182" t="s">
        <v>51</v>
      </c>
      <c r="E62" s="182"/>
      <c r="F62" s="182"/>
      <c r="G62" s="182"/>
      <c r="H62" s="185"/>
      <c r="I62" s="103"/>
      <c r="J62" s="103"/>
      <c r="K62" s="103"/>
      <c r="L62" s="103"/>
    </row>
    <row r="63" spans="2:12" x14ac:dyDescent="0.2">
      <c r="B63" s="84">
        <f>'7. Energy'!B32</f>
        <v>0</v>
      </c>
      <c r="C63" s="38">
        <v>1</v>
      </c>
      <c r="D63" s="182" t="s">
        <v>52</v>
      </c>
      <c r="E63" s="182"/>
      <c r="F63" s="182"/>
      <c r="G63" s="185"/>
      <c r="H63" s="185"/>
      <c r="I63" s="103"/>
      <c r="J63" s="103"/>
      <c r="K63" s="103"/>
      <c r="L63" s="103"/>
    </row>
    <row r="64" spans="2:12" x14ac:dyDescent="0.2">
      <c r="B64" s="84">
        <f>'7. Energy'!B33</f>
        <v>0</v>
      </c>
      <c r="C64" s="38">
        <v>2</v>
      </c>
      <c r="D64" s="230" t="s">
        <v>478</v>
      </c>
      <c r="E64" s="181"/>
      <c r="F64" s="181"/>
      <c r="G64" s="181"/>
      <c r="H64" s="181"/>
      <c r="I64" s="19"/>
      <c r="J64" s="19"/>
      <c r="K64" s="19"/>
      <c r="L64" s="19"/>
    </row>
    <row r="65" spans="2:12" x14ac:dyDescent="0.2">
      <c r="B65" s="84" t="e">
        <f>'7. Energy'!#REF!</f>
        <v>#REF!</v>
      </c>
      <c r="C65" s="38">
        <v>1</v>
      </c>
      <c r="D65" s="182" t="s">
        <v>53</v>
      </c>
      <c r="E65" s="182"/>
      <c r="F65" s="182"/>
      <c r="G65" s="185"/>
      <c r="H65" s="185"/>
      <c r="I65" s="103"/>
      <c r="J65" s="103"/>
      <c r="K65" s="103"/>
      <c r="L65" s="103"/>
    </row>
    <row r="66" spans="2:12" x14ac:dyDescent="0.2">
      <c r="B66" s="84">
        <f>'7. Energy'!B34</f>
        <v>0</v>
      </c>
      <c r="C66" s="38">
        <v>1</v>
      </c>
      <c r="D66" s="230" t="s">
        <v>54</v>
      </c>
      <c r="E66" s="188"/>
      <c r="F66" s="188"/>
      <c r="G66" s="61"/>
      <c r="H66" s="61"/>
      <c r="I66" s="103"/>
      <c r="J66" s="103"/>
      <c r="K66" s="103"/>
      <c r="L66" s="103"/>
    </row>
    <row r="67" spans="2:12" x14ac:dyDescent="0.2">
      <c r="B67" s="84">
        <f>'7. Energy'!B35</f>
        <v>0</v>
      </c>
      <c r="C67" s="38">
        <v>1</v>
      </c>
      <c r="D67" s="182" t="s">
        <v>55</v>
      </c>
      <c r="E67" s="182"/>
      <c r="F67" s="182"/>
      <c r="G67" s="185"/>
      <c r="H67" s="185"/>
      <c r="I67" s="103"/>
      <c r="J67" s="103"/>
      <c r="K67" s="103"/>
      <c r="L67" s="103"/>
    </row>
    <row r="68" spans="2:12" x14ac:dyDescent="0.2">
      <c r="B68" s="84">
        <f>'7. Energy'!B36</f>
        <v>1</v>
      </c>
      <c r="C68" s="38">
        <v>1</v>
      </c>
      <c r="D68" s="182" t="s">
        <v>56</v>
      </c>
      <c r="E68" s="182"/>
      <c r="F68" s="182"/>
      <c r="G68" s="185"/>
      <c r="H68" s="185"/>
      <c r="I68" s="19"/>
      <c r="J68" s="103"/>
      <c r="K68" s="103"/>
      <c r="L68" s="103"/>
    </row>
    <row r="69" spans="2:12" x14ac:dyDescent="0.2">
      <c r="B69" s="84">
        <f>'7. Energy'!B37</f>
        <v>0</v>
      </c>
      <c r="C69" s="38">
        <v>1</v>
      </c>
      <c r="D69" s="238" t="s">
        <v>463</v>
      </c>
      <c r="E69" s="182"/>
      <c r="F69" s="182"/>
      <c r="G69" s="185"/>
      <c r="H69" s="185"/>
      <c r="I69" s="103"/>
      <c r="J69" s="19"/>
      <c r="K69" s="19"/>
      <c r="L69" s="19"/>
    </row>
    <row r="70" spans="2:12" x14ac:dyDescent="0.2">
      <c r="B70" s="84" t="e">
        <f>'7. Energy'!#REF!</f>
        <v>#REF!</v>
      </c>
      <c r="C70" s="38">
        <v>1</v>
      </c>
      <c r="D70" s="1" t="s">
        <v>464</v>
      </c>
      <c r="E70" s="185"/>
      <c r="F70" s="185"/>
      <c r="G70" s="185"/>
      <c r="H70" s="185"/>
      <c r="I70" s="103"/>
      <c r="J70" s="103"/>
      <c r="K70" s="103"/>
      <c r="L70" s="103"/>
    </row>
    <row r="71" spans="2:12" x14ac:dyDescent="0.2">
      <c r="B71" s="84">
        <f>'7. Energy'!B38</f>
        <v>0</v>
      </c>
      <c r="C71" s="38">
        <v>1</v>
      </c>
      <c r="D71" s="182" t="s">
        <v>57</v>
      </c>
      <c r="E71" s="182"/>
      <c r="F71" s="182"/>
      <c r="G71" s="185"/>
      <c r="H71" s="185"/>
      <c r="I71" s="103"/>
      <c r="J71" s="103"/>
      <c r="K71" s="103"/>
      <c r="L71" s="103"/>
    </row>
    <row r="72" spans="2:12" x14ac:dyDescent="0.2">
      <c r="B72" s="84">
        <f>'7. Energy'!B39</f>
        <v>1</v>
      </c>
      <c r="C72" s="38">
        <v>1</v>
      </c>
      <c r="D72" s="182" t="s">
        <v>58</v>
      </c>
      <c r="E72" s="182"/>
      <c r="F72" s="182"/>
      <c r="G72" s="185"/>
      <c r="H72" s="185"/>
      <c r="I72" s="19"/>
      <c r="J72" s="103"/>
      <c r="K72" s="103"/>
      <c r="L72" s="103"/>
    </row>
    <row r="73" spans="2:12" x14ac:dyDescent="0.2">
      <c r="B73" s="86">
        <f>'7. Energy'!B43</f>
        <v>0</v>
      </c>
      <c r="C73" s="38">
        <v>1</v>
      </c>
      <c r="D73" s="182" t="s">
        <v>59</v>
      </c>
      <c r="E73" s="182"/>
      <c r="F73" s="182"/>
      <c r="G73" s="182"/>
      <c r="H73" s="185"/>
      <c r="I73" s="103"/>
      <c r="J73" s="19"/>
      <c r="K73" s="19"/>
      <c r="L73" s="19"/>
    </row>
    <row r="74" spans="2:12" x14ac:dyDescent="0.2">
      <c r="B74" s="84">
        <f>'7. Energy'!B44</f>
        <v>0</v>
      </c>
      <c r="C74" s="38">
        <v>2</v>
      </c>
      <c r="D74" s="182" t="s">
        <v>60</v>
      </c>
      <c r="E74" s="182"/>
      <c r="F74" s="182"/>
      <c r="G74" s="182"/>
      <c r="H74" s="185"/>
      <c r="I74" s="103"/>
      <c r="J74" s="103"/>
      <c r="K74" s="103"/>
      <c r="L74" s="103"/>
    </row>
    <row r="75" spans="2:12" x14ac:dyDescent="0.2">
      <c r="B75" s="84">
        <f>'7. Energy'!B45</f>
        <v>3</v>
      </c>
      <c r="C75" s="38">
        <v>3</v>
      </c>
      <c r="D75" s="238" t="s">
        <v>465</v>
      </c>
      <c r="E75" s="182"/>
      <c r="F75" s="182"/>
      <c r="G75" s="182"/>
      <c r="H75" s="185"/>
      <c r="I75" s="103"/>
      <c r="J75" s="103"/>
      <c r="K75" s="103"/>
      <c r="L75" s="103"/>
    </row>
    <row r="76" spans="2:12" x14ac:dyDescent="0.2">
      <c r="B76" s="87">
        <f>'7. Energy'!B46</f>
        <v>2</v>
      </c>
      <c r="C76" s="38">
        <v>2</v>
      </c>
      <c r="D76" s="182" t="s">
        <v>61</v>
      </c>
      <c r="E76" s="182"/>
      <c r="F76" s="182"/>
      <c r="G76" s="182"/>
      <c r="H76" s="185"/>
      <c r="I76" s="103"/>
      <c r="J76" s="103"/>
      <c r="K76" s="103"/>
      <c r="L76" s="103"/>
    </row>
    <row r="77" spans="2:12" x14ac:dyDescent="0.2">
      <c r="B77" s="84">
        <f>'7. Energy'!B49</f>
        <v>43</v>
      </c>
      <c r="C77" s="38">
        <v>108</v>
      </c>
      <c r="D77" s="182" t="s">
        <v>62</v>
      </c>
      <c r="E77" s="182"/>
      <c r="I77" s="103"/>
      <c r="J77" s="103"/>
      <c r="K77" s="103"/>
      <c r="L77" s="103"/>
    </row>
    <row r="78" spans="2:12" x14ac:dyDescent="0.2">
      <c r="I78" s="109"/>
      <c r="J78" s="109"/>
      <c r="K78" s="103"/>
      <c r="L78" s="103"/>
    </row>
    <row r="79" spans="2:12" x14ac:dyDescent="0.2">
      <c r="B79" s="84">
        <f>'7. Energy'!B51</f>
        <v>43</v>
      </c>
      <c r="C79" s="62" t="s">
        <v>63</v>
      </c>
      <c r="D79" s="62"/>
      <c r="E79" s="62"/>
      <c r="F79" s="62"/>
      <c r="G79" s="62"/>
      <c r="H79" s="62"/>
      <c r="I79" s="110"/>
      <c r="J79" s="110"/>
      <c r="K79" s="111"/>
      <c r="L79" s="111"/>
    </row>
    <row r="80" spans="2:12" x14ac:dyDescent="0.2">
      <c r="I80" s="109"/>
      <c r="J80" s="109"/>
      <c r="K80" s="103"/>
      <c r="L80" s="103"/>
    </row>
    <row r="81" spans="2:12" x14ac:dyDescent="0.2">
      <c r="B81" s="1387" t="s">
        <v>64</v>
      </c>
      <c r="C81" s="1387"/>
      <c r="D81" s="1387"/>
      <c r="E81" s="191">
        <f>'7. Energy'!E53</f>
        <v>0</v>
      </c>
      <c r="F81" s="191"/>
      <c r="G81" s="191"/>
      <c r="H81" s="191"/>
      <c r="I81" s="106"/>
      <c r="J81" s="110"/>
      <c r="K81" s="111"/>
      <c r="L81" s="111"/>
    </row>
    <row r="82" spans="2:12" x14ac:dyDescent="0.2">
      <c r="B82" s="1387" t="s">
        <v>65</v>
      </c>
      <c r="C82" s="1387"/>
      <c r="D82" s="1387"/>
      <c r="E82" s="190">
        <f>'7. Energy'!E54</f>
        <v>0</v>
      </c>
      <c r="F82" s="190"/>
      <c r="G82" s="190"/>
      <c r="H82" s="190"/>
      <c r="I82" s="110"/>
      <c r="J82" s="106"/>
      <c r="K82" s="19"/>
      <c r="L82" s="103"/>
    </row>
    <row r="83" spans="2:12" x14ac:dyDescent="0.2">
      <c r="B83" s="227"/>
      <c r="C83" s="227"/>
      <c r="D83" s="227"/>
      <c r="E83" s="227"/>
      <c r="F83" s="227"/>
      <c r="G83" s="227"/>
      <c r="H83" s="227"/>
      <c r="I83" s="109"/>
      <c r="J83" s="109"/>
      <c r="K83" s="111"/>
      <c r="L83" s="103"/>
    </row>
    <row r="84" spans="2:12" ht="16" x14ac:dyDescent="0.2">
      <c r="B84" s="88" t="s">
        <v>70</v>
      </c>
      <c r="C84" s="89"/>
      <c r="D84" s="90"/>
      <c r="E84" s="91"/>
      <c r="F84" s="91"/>
      <c r="G84" s="92"/>
      <c r="I84" s="103"/>
    </row>
    <row r="85" spans="2:12" ht="16" x14ac:dyDescent="0.2">
      <c r="B85" s="1360" t="s">
        <v>149</v>
      </c>
      <c r="C85" s="1360"/>
      <c r="D85" s="1360"/>
      <c r="E85" s="1360"/>
      <c r="F85" s="1360"/>
      <c r="G85" s="1360"/>
      <c r="I85" s="110"/>
    </row>
    <row r="86" spans="2:12" ht="16" x14ac:dyDescent="0.2">
      <c r="B86" s="95"/>
      <c r="C86" s="94"/>
      <c r="D86" s="94"/>
      <c r="E86" s="94"/>
      <c r="F86" s="94"/>
      <c r="G86" s="94"/>
      <c r="I86" s="103"/>
    </row>
    <row r="87" spans="2:12" ht="16" x14ac:dyDescent="0.2">
      <c r="B87" s="1396" t="str">
        <f>'8. Water'!A3</f>
        <v>N/A</v>
      </c>
      <c r="C87" s="1397"/>
      <c r="D87" s="96" t="s">
        <v>20</v>
      </c>
      <c r="E87" s="97"/>
      <c r="F87" s="97"/>
      <c r="G87" s="97"/>
      <c r="I87" s="103"/>
    </row>
    <row r="88" spans="2:12" x14ac:dyDescent="0.2">
      <c r="B88" s="98" t="s">
        <v>71</v>
      </c>
      <c r="C88" s="99"/>
      <c r="D88" s="97"/>
      <c r="E88" s="100"/>
      <c r="F88" s="100"/>
      <c r="I88" s="103"/>
      <c r="J88" s="103"/>
      <c r="K88" s="103"/>
      <c r="L88" s="103"/>
    </row>
    <row r="89" spans="2:12" x14ac:dyDescent="0.2">
      <c r="B89" s="101">
        <f>'8. Water'!B6</f>
        <v>3</v>
      </c>
      <c r="C89" s="102" t="s">
        <v>72</v>
      </c>
      <c r="D89" s="1388" t="s">
        <v>73</v>
      </c>
      <c r="E89" s="1388"/>
      <c r="F89" s="1388"/>
      <c r="I89" s="109"/>
      <c r="J89" s="103"/>
      <c r="K89" s="103"/>
      <c r="L89" s="103"/>
    </row>
    <row r="90" spans="2:12" x14ac:dyDescent="0.2">
      <c r="B90" s="101">
        <f>'8. Water'!B7</f>
        <v>1</v>
      </c>
      <c r="C90" s="104">
        <v>1</v>
      </c>
      <c r="D90" s="1388" t="s">
        <v>466</v>
      </c>
      <c r="E90" s="1388"/>
      <c r="F90" s="1388"/>
      <c r="I90" s="103"/>
      <c r="J90" s="109"/>
      <c r="K90" s="103"/>
      <c r="L90" s="103"/>
    </row>
    <row r="91" spans="2:12" x14ac:dyDescent="0.2">
      <c r="B91" s="101">
        <f>'8. Water'!B8</f>
        <v>1</v>
      </c>
      <c r="C91" s="104">
        <v>1</v>
      </c>
      <c r="D91" s="103" t="s">
        <v>479</v>
      </c>
      <c r="E91" s="103"/>
      <c r="F91" s="103"/>
      <c r="I91" s="103"/>
      <c r="J91" s="103"/>
      <c r="K91" s="103"/>
      <c r="L91" s="103"/>
    </row>
    <row r="92" spans="2:12" x14ac:dyDescent="0.2">
      <c r="B92" s="101" t="e">
        <f>'8. Water'!#REF!</f>
        <v>#REF!</v>
      </c>
      <c r="C92" s="104">
        <v>2</v>
      </c>
      <c r="D92" s="1388" t="s">
        <v>77</v>
      </c>
      <c r="E92" s="1388"/>
      <c r="F92" s="103"/>
      <c r="I92" s="106"/>
      <c r="J92" s="103"/>
      <c r="K92" s="103"/>
      <c r="L92" s="103"/>
    </row>
    <row r="93" spans="2:12" x14ac:dyDescent="0.2">
      <c r="B93" s="105">
        <f>'8. Water'!B10</f>
        <v>2</v>
      </c>
      <c r="C93" s="104">
        <v>2</v>
      </c>
      <c r="D93" s="1388" t="s">
        <v>78</v>
      </c>
      <c r="E93" s="1388"/>
      <c r="F93" s="1388"/>
      <c r="I93" s="116"/>
      <c r="J93" s="106"/>
      <c r="K93" s="103"/>
      <c r="L93" s="103"/>
    </row>
    <row r="94" spans="2:12" x14ac:dyDescent="0.2">
      <c r="B94" s="101">
        <f>'8. Water'!B12</f>
        <v>0</v>
      </c>
      <c r="C94" s="104">
        <v>1</v>
      </c>
      <c r="D94" s="1388" t="s">
        <v>79</v>
      </c>
      <c r="E94" s="1388"/>
      <c r="F94" s="1388"/>
      <c r="I94" s="117"/>
      <c r="J94" s="106"/>
      <c r="K94" s="103"/>
      <c r="L94" s="103"/>
    </row>
    <row r="95" spans="2:12" x14ac:dyDescent="0.2">
      <c r="B95" s="1400" t="s">
        <v>80</v>
      </c>
      <c r="C95" s="1400"/>
      <c r="D95" s="106"/>
      <c r="E95" s="106"/>
      <c r="F95" s="19"/>
      <c r="G95" s="19"/>
      <c r="I95" s="117"/>
      <c r="J95" s="103"/>
      <c r="K95" s="103"/>
      <c r="L95" s="19"/>
    </row>
    <row r="96" spans="2:12" x14ac:dyDescent="0.2">
      <c r="B96" s="101">
        <f>'8. Water'!B15</f>
        <v>0</v>
      </c>
      <c r="C96" s="104">
        <v>3</v>
      </c>
      <c r="D96" s="192" t="s">
        <v>81</v>
      </c>
      <c r="E96" s="192"/>
      <c r="F96" s="103"/>
      <c r="G96" s="103"/>
      <c r="I96" s="117"/>
      <c r="J96" s="103"/>
      <c r="K96" s="103"/>
      <c r="L96" s="103"/>
    </row>
    <row r="97" spans="2:12" x14ac:dyDescent="0.2">
      <c r="B97" s="107" t="e">
        <f>'8. Water'!#REF!</f>
        <v>#REF!</v>
      </c>
      <c r="C97" s="104">
        <v>2</v>
      </c>
      <c r="D97" s="192" t="s">
        <v>82</v>
      </c>
      <c r="E97" s="192"/>
      <c r="F97" s="192"/>
      <c r="G97" s="192"/>
      <c r="I97" s="103"/>
      <c r="J97" s="103"/>
      <c r="K97" s="103"/>
      <c r="L97" s="103"/>
    </row>
    <row r="98" spans="2:12" x14ac:dyDescent="0.2">
      <c r="B98" s="101" t="e">
        <f>'8. Water'!#REF!</f>
        <v>#REF!</v>
      </c>
      <c r="C98" s="104">
        <v>1</v>
      </c>
      <c r="D98" s="192" t="s">
        <v>83</v>
      </c>
      <c r="E98" s="192"/>
      <c r="F98" s="192"/>
      <c r="G98" s="192"/>
      <c r="I98" s="103"/>
      <c r="J98" s="103"/>
      <c r="K98" s="103"/>
      <c r="L98" s="103"/>
    </row>
    <row r="99" spans="2:12" x14ac:dyDescent="0.2">
      <c r="B99" s="193" t="s">
        <v>84</v>
      </c>
      <c r="C99" s="104"/>
      <c r="D99" s="106"/>
      <c r="E99" s="193"/>
      <c r="F99" s="193"/>
      <c r="G99" s="19"/>
      <c r="I99" s="117"/>
      <c r="J99" s="103"/>
      <c r="K99" s="103"/>
      <c r="L99" s="103"/>
    </row>
    <row r="100" spans="2:12" x14ac:dyDescent="0.2">
      <c r="B100" s="101">
        <f>'8. Water'!B18</f>
        <v>0</v>
      </c>
      <c r="C100" s="104">
        <v>2</v>
      </c>
      <c r="D100" s="192" t="s">
        <v>85</v>
      </c>
      <c r="E100" s="192"/>
      <c r="F100" s="192"/>
      <c r="G100" s="192"/>
      <c r="I100" s="117"/>
      <c r="J100" s="103"/>
      <c r="K100" s="103"/>
      <c r="L100" s="103"/>
    </row>
    <row r="101" spans="2:12" x14ac:dyDescent="0.2">
      <c r="B101" s="101" t="e">
        <f>'8. Water'!#REF!</f>
        <v>#REF!</v>
      </c>
      <c r="C101" s="104">
        <v>1</v>
      </c>
      <c r="D101" s="192" t="s">
        <v>86</v>
      </c>
      <c r="E101" s="192"/>
      <c r="F101" s="192"/>
      <c r="G101" s="192"/>
      <c r="I101" s="103"/>
      <c r="J101" s="117"/>
      <c r="K101" s="103"/>
      <c r="L101" s="103"/>
    </row>
    <row r="102" spans="2:12" x14ac:dyDescent="0.2">
      <c r="B102" s="193" t="s">
        <v>87</v>
      </c>
      <c r="C102" s="193"/>
      <c r="D102" s="193"/>
      <c r="E102" s="106"/>
      <c r="F102" s="106"/>
      <c r="G102" s="19"/>
      <c r="I102" s="117"/>
      <c r="J102" s="103"/>
      <c r="K102" s="103"/>
      <c r="L102" s="103"/>
    </row>
    <row r="103" spans="2:12" x14ac:dyDescent="0.2">
      <c r="B103" s="101">
        <f>'8. Water'!B21</f>
        <v>0</v>
      </c>
      <c r="C103" s="104">
        <v>2</v>
      </c>
      <c r="D103" s="192" t="s">
        <v>88</v>
      </c>
      <c r="E103" s="192"/>
      <c r="F103" s="103"/>
      <c r="G103" s="103"/>
      <c r="I103" s="106"/>
      <c r="J103" s="117"/>
      <c r="K103" s="103"/>
      <c r="L103" s="103"/>
    </row>
    <row r="104" spans="2:12" x14ac:dyDescent="0.2">
      <c r="B104" s="108">
        <f>'8. Water'!B22</f>
        <v>0</v>
      </c>
      <c r="C104" s="104">
        <v>2</v>
      </c>
      <c r="D104" s="192" t="s">
        <v>89</v>
      </c>
      <c r="E104" s="192"/>
      <c r="F104" s="192"/>
      <c r="G104" s="192"/>
      <c r="I104" s="122"/>
      <c r="J104" s="122"/>
      <c r="K104" s="23"/>
      <c r="L104" s="23"/>
    </row>
    <row r="105" spans="2:12" x14ac:dyDescent="0.2">
      <c r="B105" s="105">
        <f>'8. Water'!B23</f>
        <v>0</v>
      </c>
      <c r="C105" s="104">
        <v>2</v>
      </c>
      <c r="D105" s="192" t="s">
        <v>90</v>
      </c>
      <c r="E105" s="192"/>
      <c r="F105" s="192"/>
      <c r="G105" s="192"/>
      <c r="I105" s="123"/>
      <c r="J105" s="123"/>
      <c r="K105" s="113"/>
      <c r="L105" s="23"/>
    </row>
    <row r="106" spans="2:12" x14ac:dyDescent="0.2">
      <c r="B106" s="101">
        <f>'8. Water'!B24</f>
        <v>0</v>
      </c>
      <c r="C106" s="104">
        <v>2</v>
      </c>
      <c r="D106" s="192" t="s">
        <v>91</v>
      </c>
      <c r="E106" s="192"/>
      <c r="F106" s="103"/>
      <c r="G106" s="103"/>
      <c r="I106" s="123"/>
      <c r="J106" s="123"/>
      <c r="K106" s="113"/>
      <c r="L106" s="113"/>
    </row>
    <row r="107" spans="2:12" x14ac:dyDescent="0.2">
      <c r="B107" s="1400" t="s">
        <v>92</v>
      </c>
      <c r="C107" s="1400"/>
      <c r="D107" s="1400"/>
      <c r="E107" s="106"/>
      <c r="F107" s="106"/>
      <c r="G107" s="19"/>
      <c r="H107" s="103"/>
      <c r="I107" s="123"/>
      <c r="J107" s="123"/>
      <c r="K107" s="113"/>
      <c r="L107" s="113"/>
    </row>
    <row r="108" spans="2:12" x14ac:dyDescent="0.2">
      <c r="B108" s="101">
        <f>'8. Water'!B27</f>
        <v>3</v>
      </c>
      <c r="C108" s="104">
        <v>2</v>
      </c>
      <c r="D108" s="1389" t="s">
        <v>480</v>
      </c>
      <c r="E108" s="1389"/>
      <c r="F108" s="1389"/>
      <c r="G108" s="1389"/>
      <c r="H108" s="1389"/>
    </row>
    <row r="109" spans="2:12" x14ac:dyDescent="0.2">
      <c r="B109" s="107">
        <f>'8. Water'!B28</f>
        <v>0</v>
      </c>
      <c r="C109" s="102" t="s">
        <v>93</v>
      </c>
      <c r="D109" s="109" t="s">
        <v>753</v>
      </c>
      <c r="E109" s="109"/>
      <c r="F109" s="109"/>
      <c r="G109" s="109"/>
      <c r="H109" s="109"/>
      <c r="I109" s="69"/>
      <c r="J109" s="69"/>
      <c r="K109" s="69"/>
      <c r="L109" s="69"/>
    </row>
    <row r="110" spans="2:12" x14ac:dyDescent="0.2">
      <c r="B110" s="108">
        <f>'8. Water'!B30</f>
        <v>0</v>
      </c>
      <c r="C110" s="104">
        <v>2</v>
      </c>
      <c r="D110" s="109" t="s">
        <v>95</v>
      </c>
      <c r="E110" s="109"/>
      <c r="F110" s="109"/>
      <c r="G110" s="109"/>
      <c r="H110" s="109"/>
    </row>
    <row r="111" spans="2:12" x14ac:dyDescent="0.2">
      <c r="B111" s="101">
        <f>'8. Water'!B31</f>
        <v>0</v>
      </c>
      <c r="C111" s="104">
        <v>3</v>
      </c>
      <c r="D111" s="192" t="s">
        <v>96</v>
      </c>
      <c r="E111" s="192"/>
      <c r="F111" s="192"/>
      <c r="G111" s="103"/>
      <c r="H111" s="192"/>
    </row>
    <row r="112" spans="2:12" x14ac:dyDescent="0.2">
      <c r="B112" s="101">
        <f>'8. Water'!B32</f>
        <v>0</v>
      </c>
      <c r="C112" s="104">
        <v>2</v>
      </c>
      <c r="D112" s="192" t="s">
        <v>97</v>
      </c>
      <c r="E112" s="192"/>
      <c r="F112" s="192"/>
      <c r="G112" s="192"/>
      <c r="H112" s="195"/>
      <c r="I112" s="125"/>
      <c r="J112" s="30"/>
      <c r="K112" s="20"/>
      <c r="L112" s="20"/>
    </row>
    <row r="113" spans="2:15" x14ac:dyDescent="0.2">
      <c r="B113" s="101">
        <f>'8. Water'!B33</f>
        <v>0</v>
      </c>
      <c r="C113" s="104">
        <v>2</v>
      </c>
      <c r="D113" s="109" t="s">
        <v>98</v>
      </c>
      <c r="E113" s="109"/>
      <c r="F113" s="109"/>
      <c r="G113" s="109"/>
      <c r="H113" s="109"/>
      <c r="I113" s="125"/>
      <c r="J113" s="30"/>
      <c r="K113" s="20"/>
      <c r="L113" s="20"/>
    </row>
    <row r="114" spans="2:15" x14ac:dyDescent="0.2">
      <c r="B114" s="101">
        <f>'8. Water'!B34</f>
        <v>0</v>
      </c>
      <c r="C114" s="104">
        <v>2</v>
      </c>
      <c r="D114" s="192" t="s">
        <v>99</v>
      </c>
      <c r="E114" s="192"/>
      <c r="F114" s="192"/>
      <c r="G114" s="192"/>
      <c r="H114" s="192"/>
      <c r="I114" s="125"/>
      <c r="J114" s="30"/>
      <c r="K114" s="20"/>
      <c r="L114" s="20"/>
    </row>
    <row r="115" spans="2:15" x14ac:dyDescent="0.2">
      <c r="B115" s="101">
        <f>'8. Water'!B35</f>
        <v>0</v>
      </c>
      <c r="C115" s="104">
        <v>2</v>
      </c>
      <c r="D115" s="192" t="s">
        <v>100</v>
      </c>
      <c r="E115" s="192"/>
      <c r="F115" s="192"/>
      <c r="G115" s="103"/>
      <c r="H115" s="195"/>
      <c r="I115" s="125"/>
      <c r="J115" s="30"/>
      <c r="K115" s="20"/>
      <c r="L115" s="20"/>
    </row>
    <row r="116" spans="2:15" x14ac:dyDescent="0.2">
      <c r="B116" s="101">
        <f>'8. Water'!B36</f>
        <v>0</v>
      </c>
      <c r="C116" s="104">
        <v>2</v>
      </c>
      <c r="D116" s="192" t="s">
        <v>101</v>
      </c>
      <c r="E116" s="192"/>
      <c r="F116" s="192"/>
      <c r="G116" s="192"/>
      <c r="H116" s="192"/>
      <c r="I116" s="125"/>
      <c r="J116" s="30"/>
      <c r="K116" s="20"/>
      <c r="L116" s="20"/>
    </row>
    <row r="117" spans="2:15" x14ac:dyDescent="0.2">
      <c r="B117" s="112">
        <f>'8. Water'!B39</f>
        <v>0</v>
      </c>
      <c r="C117" s="104">
        <v>10</v>
      </c>
      <c r="D117" s="194" t="s">
        <v>102</v>
      </c>
      <c r="E117" s="194"/>
      <c r="F117" s="194"/>
      <c r="G117" s="194"/>
      <c r="H117" s="103"/>
      <c r="I117" s="125"/>
      <c r="J117" s="30"/>
      <c r="K117" s="20"/>
      <c r="L117" s="20"/>
    </row>
    <row r="118" spans="2:15" x14ac:dyDescent="0.2">
      <c r="B118" s="101">
        <f>'8. Water'!B40</f>
        <v>0</v>
      </c>
      <c r="C118" s="104">
        <v>2</v>
      </c>
      <c r="D118" s="192" t="s">
        <v>103</v>
      </c>
      <c r="E118" s="192"/>
      <c r="F118" s="192"/>
      <c r="G118" s="192"/>
      <c r="H118" s="103"/>
      <c r="I118" s="125"/>
      <c r="J118" s="30"/>
      <c r="K118" s="20"/>
      <c r="L118" s="20"/>
    </row>
    <row r="119" spans="2:15" x14ac:dyDescent="0.2">
      <c r="B119" s="101">
        <f>'8. Water'!B60</f>
        <v>0</v>
      </c>
      <c r="C119" s="104">
        <v>5</v>
      </c>
      <c r="D119" s="234" t="s">
        <v>481</v>
      </c>
      <c r="E119" s="192"/>
      <c r="F119" s="192"/>
      <c r="G119" s="192"/>
      <c r="H119" s="109"/>
      <c r="I119" s="125"/>
      <c r="J119" s="30"/>
      <c r="K119" s="20"/>
      <c r="L119" s="20"/>
    </row>
    <row r="120" spans="2:15" x14ac:dyDescent="0.2">
      <c r="B120" s="112">
        <f>'8. Water'!B42</f>
        <v>0</v>
      </c>
      <c r="C120" s="102" t="s">
        <v>104</v>
      </c>
      <c r="D120" s="194" t="s">
        <v>105</v>
      </c>
      <c r="E120" s="194"/>
      <c r="F120" s="194"/>
      <c r="G120" s="194"/>
      <c r="H120" s="103"/>
      <c r="I120" s="125"/>
      <c r="J120" s="30"/>
      <c r="K120" s="20"/>
      <c r="L120" s="20"/>
    </row>
    <row r="121" spans="2:15" x14ac:dyDescent="0.2">
      <c r="B121" s="113"/>
      <c r="C121" s="102"/>
      <c r="D121" s="114" t="e">
        <f>'8. Water'!#REF!</f>
        <v>#REF!</v>
      </c>
      <c r="E121" s="115" t="s">
        <v>106</v>
      </c>
      <c r="F121" s="116"/>
      <c r="G121" s="116"/>
      <c r="H121" s="103"/>
      <c r="I121" s="231"/>
      <c r="J121" s="67"/>
      <c r="K121" s="67"/>
      <c r="L121" s="229"/>
      <c r="M121" s="297"/>
      <c r="N121" s="229"/>
    </row>
    <row r="122" spans="2:15" x14ac:dyDescent="0.2">
      <c r="B122" s="19"/>
      <c r="C122" s="104"/>
      <c r="D122" s="101" t="str">
        <f>'8. Water'!D43</f>
        <v>-</v>
      </c>
      <c r="E122" s="237" t="s">
        <v>445</v>
      </c>
      <c r="F122" s="117"/>
      <c r="G122" s="117"/>
      <c r="H122" s="109"/>
      <c r="J122" s="68"/>
      <c r="K122" s="68"/>
      <c r="L122" s="68"/>
      <c r="N122" s="229"/>
    </row>
    <row r="123" spans="2:15" x14ac:dyDescent="0.2">
      <c r="B123" s="19"/>
      <c r="C123" s="104"/>
      <c r="D123" s="101" t="str">
        <f>'8. Water'!D44</f>
        <v>-</v>
      </c>
      <c r="E123" s="232" t="s">
        <v>110</v>
      </c>
      <c r="F123" s="233"/>
      <c r="G123" s="233"/>
      <c r="H123" s="233"/>
      <c r="I123" s="233"/>
      <c r="J123" s="233"/>
    </row>
    <row r="124" spans="2:15" x14ac:dyDescent="0.2">
      <c r="B124" s="19"/>
      <c r="C124" s="104"/>
      <c r="D124" s="101" t="str">
        <f>'8. Water'!D45</f>
        <v>-</v>
      </c>
      <c r="E124" s="232" t="s">
        <v>107</v>
      </c>
      <c r="F124" s="233"/>
      <c r="G124" s="233"/>
      <c r="H124" s="233"/>
      <c r="I124" s="233"/>
      <c r="N124" s="68"/>
    </row>
    <row r="125" spans="2:15" x14ac:dyDescent="0.2">
      <c r="B125" s="19"/>
      <c r="C125" s="104"/>
      <c r="D125" s="101">
        <f>'8. Water'!D46</f>
        <v>0</v>
      </c>
      <c r="E125" s="237" t="s">
        <v>448</v>
      </c>
      <c r="F125" s="117"/>
      <c r="G125" s="117"/>
      <c r="H125" s="117"/>
      <c r="J125" s="68"/>
      <c r="K125" s="68"/>
      <c r="L125" s="68"/>
      <c r="M125" s="300"/>
      <c r="N125" s="229"/>
    </row>
    <row r="126" spans="2:15" x14ac:dyDescent="0.2">
      <c r="B126" s="19"/>
      <c r="C126" s="104"/>
      <c r="D126" s="101" t="str">
        <f>'8. Water'!D47</f>
        <v>-</v>
      </c>
      <c r="E126" t="s">
        <v>108</v>
      </c>
      <c r="F126" s="117"/>
      <c r="G126" s="117"/>
      <c r="H126" s="117"/>
      <c r="K126" s="4"/>
      <c r="L126" s="4"/>
      <c r="M126" s="300"/>
      <c r="N126" s="229"/>
    </row>
    <row r="127" spans="2:15" x14ac:dyDescent="0.2">
      <c r="B127" s="19"/>
      <c r="C127" s="104"/>
      <c r="D127" s="101" t="e">
        <f>'8. Water'!#REF!</f>
        <v>#REF!</v>
      </c>
      <c r="E127" s="237" t="s">
        <v>446</v>
      </c>
      <c r="F127" s="117"/>
      <c r="G127" s="117"/>
      <c r="H127" s="117"/>
      <c r="J127" s="68"/>
      <c r="K127" s="68"/>
      <c r="L127" s="68"/>
      <c r="M127" s="298"/>
      <c r="N127" s="229"/>
    </row>
    <row r="128" spans="2:15" x14ac:dyDescent="0.2">
      <c r="B128" s="19"/>
      <c r="C128" s="104"/>
      <c r="D128" s="101" t="e">
        <f>'8. Water'!#REF!</f>
        <v>#REF!</v>
      </c>
      <c r="E128" s="232" t="s">
        <v>109</v>
      </c>
      <c r="F128" s="233"/>
      <c r="G128" s="233"/>
      <c r="H128" s="233"/>
      <c r="I128" s="233"/>
      <c r="J128" s="233"/>
      <c r="O128" s="13"/>
    </row>
    <row r="129" spans="2:15" x14ac:dyDescent="0.2">
      <c r="B129" s="106"/>
      <c r="C129" s="106"/>
      <c r="D129" s="101" t="e">
        <f>'8. Water'!#REF!</f>
        <v>#REF!</v>
      </c>
      <c r="E129" s="1393" t="s">
        <v>447</v>
      </c>
      <c r="F129" s="1394"/>
      <c r="G129" s="1394"/>
      <c r="H129" s="1394"/>
      <c r="M129" s="300"/>
      <c r="N129" s="229"/>
    </row>
    <row r="130" spans="2:15" x14ac:dyDescent="0.2">
      <c r="B130" s="118">
        <f>'8. Water'!B62</f>
        <v>12</v>
      </c>
      <c r="C130" s="119">
        <v>69</v>
      </c>
      <c r="D130" s="106" t="s">
        <v>111</v>
      </c>
      <c r="E130" s="106"/>
      <c r="F130" s="106"/>
      <c r="G130" s="106"/>
      <c r="H130" s="117"/>
      <c r="N130" s="15"/>
    </row>
    <row r="131" spans="2:15" ht="6.75" customHeight="1" x14ac:dyDescent="0.2">
      <c r="B131" s="106"/>
      <c r="C131" s="119"/>
      <c r="D131" s="106"/>
      <c r="E131" s="106"/>
      <c r="F131" s="106"/>
      <c r="G131" s="106"/>
      <c r="H131" s="117"/>
      <c r="I131" s="60"/>
      <c r="J131" s="60"/>
      <c r="K131" s="131"/>
      <c r="L131" s="131"/>
      <c r="M131" s="302"/>
      <c r="N131" s="15"/>
    </row>
    <row r="132" spans="2:15" x14ac:dyDescent="0.2">
      <c r="B132" s="118">
        <f>'8. Water'!B64</f>
        <v>12</v>
      </c>
      <c r="C132" s="120" t="s">
        <v>112</v>
      </c>
      <c r="D132" s="121"/>
      <c r="E132" s="121"/>
      <c r="F132" s="121"/>
      <c r="G132" s="121"/>
      <c r="H132" s="106"/>
      <c r="I132" s="134"/>
      <c r="J132" s="134"/>
      <c r="K132" s="135"/>
      <c r="L132" s="135"/>
      <c r="M132" s="302"/>
      <c r="N132" s="15"/>
    </row>
    <row r="133" spans="2:15" x14ac:dyDescent="0.2">
      <c r="B133" s="106"/>
      <c r="C133" s="106"/>
      <c r="D133" s="106"/>
      <c r="E133" s="106"/>
      <c r="F133" s="106"/>
      <c r="G133" s="106"/>
      <c r="H133" s="106"/>
      <c r="I133" s="136"/>
      <c r="J133" s="136"/>
      <c r="K133" s="31"/>
      <c r="L133" s="31"/>
      <c r="M133" s="302"/>
      <c r="N133" s="15"/>
    </row>
    <row r="134" spans="2:15" x14ac:dyDescent="0.2">
      <c r="B134" s="1390" t="s">
        <v>113</v>
      </c>
      <c r="C134" s="1390"/>
      <c r="D134" s="1390"/>
      <c r="E134" s="196">
        <f>'8. Water'!E66</f>
        <v>0</v>
      </c>
      <c r="F134" s="196"/>
      <c r="G134" s="196"/>
      <c r="H134" s="196"/>
      <c r="I134" s="136"/>
      <c r="J134" s="136"/>
      <c r="K134" s="31"/>
      <c r="L134" s="31"/>
      <c r="M134" s="302"/>
      <c r="N134" s="15"/>
    </row>
    <row r="135" spans="2:15" x14ac:dyDescent="0.2">
      <c r="B135" s="1391" t="s">
        <v>493</v>
      </c>
      <c r="C135" s="1391"/>
      <c r="D135" s="1391"/>
      <c r="E135" s="197">
        <f>'8. Water'!E67</f>
        <v>0</v>
      </c>
      <c r="F135" s="197"/>
      <c r="G135" s="197"/>
      <c r="H135" s="197"/>
      <c r="I135" s="136"/>
      <c r="J135" s="136"/>
      <c r="K135" s="31"/>
      <c r="L135" s="31"/>
      <c r="M135" s="302"/>
      <c r="N135" s="15"/>
    </row>
    <row r="136" spans="2:15" x14ac:dyDescent="0.2">
      <c r="B136" s="1391" t="s">
        <v>494</v>
      </c>
      <c r="C136" s="1391"/>
      <c r="D136" s="1391"/>
      <c r="E136" s="1401">
        <f>'8. Water'!E68</f>
        <v>0</v>
      </c>
      <c r="F136" s="1401"/>
      <c r="G136" s="1401"/>
      <c r="H136" s="1401"/>
      <c r="I136" s="187"/>
      <c r="J136" s="187"/>
      <c r="K136" s="183"/>
      <c r="L136" s="183"/>
      <c r="M136" s="302"/>
      <c r="N136" s="15"/>
    </row>
    <row r="137" spans="2:15" ht="16" x14ac:dyDescent="0.2">
      <c r="B137" s="1373"/>
      <c r="C137" s="1373"/>
      <c r="D137" s="1373"/>
      <c r="E137" s="1373"/>
      <c r="F137" s="1373"/>
      <c r="G137" s="1373"/>
      <c r="H137" s="1373"/>
      <c r="I137" s="137"/>
      <c r="J137" s="137"/>
      <c r="K137" s="131"/>
      <c r="L137" s="131"/>
      <c r="M137" s="274"/>
      <c r="N137" s="15"/>
      <c r="O137" s="16"/>
    </row>
    <row r="138" spans="2:15" ht="16" x14ac:dyDescent="0.2">
      <c r="B138" s="53" t="s">
        <v>183</v>
      </c>
      <c r="C138" s="54"/>
      <c r="D138" s="56"/>
      <c r="E138" s="56"/>
      <c r="F138" s="56"/>
      <c r="G138" s="64"/>
      <c r="H138" s="69"/>
      <c r="I138" s="136"/>
      <c r="J138" s="136"/>
      <c r="K138" s="31"/>
      <c r="L138" s="31"/>
      <c r="M138" s="274"/>
      <c r="N138" s="15"/>
      <c r="O138" s="16"/>
    </row>
    <row r="139" spans="2:15" ht="16" x14ac:dyDescent="0.2">
      <c r="B139" s="1366" t="s">
        <v>162</v>
      </c>
      <c r="C139" s="1366"/>
      <c r="D139" s="1366"/>
      <c r="E139" s="1366"/>
      <c r="F139" s="1366"/>
      <c r="G139" s="1366"/>
      <c r="I139" s="136"/>
      <c r="J139" s="136"/>
      <c r="K139" s="31"/>
      <c r="L139" s="31"/>
      <c r="M139" s="302"/>
      <c r="N139" s="15"/>
      <c r="O139" s="16"/>
    </row>
    <row r="140" spans="2:15" ht="16" x14ac:dyDescent="0.2">
      <c r="B140" s="184"/>
      <c r="C140" s="184"/>
      <c r="D140" s="71"/>
      <c r="E140" s="184"/>
      <c r="F140" s="184"/>
      <c r="G140" s="184"/>
      <c r="I140" s="137"/>
      <c r="J140" s="137"/>
      <c r="K140" s="131"/>
      <c r="L140" s="131"/>
      <c r="M140" s="293"/>
      <c r="N140" s="15"/>
    </row>
    <row r="141" spans="2:15" x14ac:dyDescent="0.2">
      <c r="B141" s="84">
        <f>'9. Lot Choice'!B5</f>
        <v>0</v>
      </c>
      <c r="C141" s="124" t="s">
        <v>150</v>
      </c>
      <c r="D141" s="199" t="s">
        <v>151</v>
      </c>
      <c r="E141" s="199"/>
      <c r="F141" s="199"/>
      <c r="G141" s="199"/>
      <c r="H141" s="199"/>
      <c r="I141" s="134"/>
      <c r="J141" s="134"/>
      <c r="K141" s="135"/>
      <c r="L141" s="135"/>
      <c r="M141" s="302"/>
      <c r="N141" s="15"/>
    </row>
    <row r="142" spans="2:15" x14ac:dyDescent="0.2">
      <c r="B142" s="84">
        <f>'9. Lot Choice'!B7</f>
        <v>0</v>
      </c>
      <c r="C142" s="126">
        <v>4</v>
      </c>
      <c r="D142" s="1362" t="s">
        <v>153</v>
      </c>
      <c r="E142" s="1362"/>
      <c r="F142" s="1362"/>
      <c r="G142" s="1362"/>
      <c r="H142" s="1362"/>
      <c r="I142" s="136"/>
      <c r="J142" s="136"/>
      <c r="K142" s="31"/>
      <c r="L142" s="31"/>
      <c r="N142" s="15"/>
    </row>
    <row r="143" spans="2:15" x14ac:dyDescent="0.2">
      <c r="B143" s="84">
        <f>'9. Lot Choice'!B8</f>
        <v>0</v>
      </c>
      <c r="C143" s="126">
        <v>2</v>
      </c>
      <c r="D143" s="199" t="s">
        <v>154</v>
      </c>
      <c r="E143" s="199"/>
      <c r="F143" s="199"/>
      <c r="G143" s="125"/>
      <c r="H143" s="125"/>
      <c r="I143" s="136"/>
      <c r="J143" s="136"/>
      <c r="K143" s="31"/>
      <c r="L143" s="31"/>
      <c r="N143" s="17"/>
    </row>
    <row r="144" spans="2:15" x14ac:dyDescent="0.2">
      <c r="B144" s="84">
        <f>'9. Lot Choice'!B9</f>
        <v>0</v>
      </c>
      <c r="C144" s="126">
        <v>2</v>
      </c>
      <c r="D144" s="1362" t="s">
        <v>155</v>
      </c>
      <c r="E144" s="1362"/>
      <c r="F144" s="1362"/>
      <c r="G144" s="1362"/>
      <c r="H144" s="125"/>
      <c r="I144" s="136"/>
      <c r="J144" s="136"/>
      <c r="K144" s="31"/>
      <c r="L144" s="31"/>
      <c r="N144" s="17"/>
    </row>
    <row r="145" spans="2:15" x14ac:dyDescent="0.2">
      <c r="B145" s="84">
        <f>'9. Lot Choice'!B10</f>
        <v>0</v>
      </c>
      <c r="C145" s="126">
        <v>2</v>
      </c>
      <c r="D145" s="1375" t="s">
        <v>468</v>
      </c>
      <c r="E145" s="1362"/>
      <c r="F145" s="1362"/>
      <c r="G145" s="1362"/>
      <c r="H145" s="125"/>
      <c r="I145" s="136"/>
      <c r="J145" s="136"/>
      <c r="K145" s="31"/>
      <c r="L145" s="31"/>
      <c r="N145" s="17"/>
    </row>
    <row r="146" spans="2:15" x14ac:dyDescent="0.2">
      <c r="B146" s="84">
        <f>'9. Lot Choice'!B11</f>
        <v>0</v>
      </c>
      <c r="C146" s="126">
        <v>2</v>
      </c>
      <c r="D146" s="1362" t="s">
        <v>156</v>
      </c>
      <c r="E146" s="1362"/>
      <c r="F146" s="1362"/>
      <c r="G146" s="1362"/>
      <c r="H146" s="1362"/>
      <c r="I146" s="137"/>
      <c r="J146" s="137"/>
      <c r="K146" s="131"/>
      <c r="L146" s="131"/>
      <c r="N146" s="17"/>
    </row>
    <row r="147" spans="2:15" x14ac:dyDescent="0.2">
      <c r="B147" s="84" t="str">
        <f>'9. Lot Choice'!B12</f>
        <v xml:space="preserve"> </v>
      </c>
      <c r="C147" s="126">
        <v>2</v>
      </c>
      <c r="D147" s="1362" t="s">
        <v>157</v>
      </c>
      <c r="E147" s="1362"/>
      <c r="F147" s="1362"/>
      <c r="G147" s="1362"/>
      <c r="H147" s="1362"/>
      <c r="I147" s="136"/>
      <c r="J147" s="136"/>
      <c r="K147" s="31"/>
      <c r="L147" s="31"/>
      <c r="N147" s="17"/>
    </row>
    <row r="148" spans="2:15" x14ac:dyDescent="0.2">
      <c r="B148" s="84">
        <f>'9. Lot Choice'!B39</f>
        <v>0</v>
      </c>
      <c r="C148" s="126">
        <v>2</v>
      </c>
      <c r="D148" s="1362" t="s">
        <v>158</v>
      </c>
      <c r="E148" s="1362"/>
      <c r="F148" s="1362"/>
      <c r="G148" s="1362"/>
      <c r="H148" s="1362"/>
      <c r="I148" s="136"/>
      <c r="J148" s="136"/>
      <c r="K148" s="31"/>
      <c r="L148" s="31"/>
      <c r="N148" s="15"/>
    </row>
    <row r="149" spans="2:15" x14ac:dyDescent="0.2">
      <c r="B149" s="84">
        <f>'9. Lot Choice'!B40</f>
        <v>0</v>
      </c>
      <c r="C149" s="126">
        <v>2</v>
      </c>
      <c r="D149" s="1362" t="s">
        <v>159</v>
      </c>
      <c r="E149" s="1362"/>
      <c r="F149" s="125"/>
      <c r="G149" s="125"/>
      <c r="H149" s="125"/>
      <c r="I149" s="125"/>
      <c r="J149" s="125"/>
      <c r="K149" s="31"/>
      <c r="L149" s="31"/>
      <c r="N149" s="15"/>
    </row>
    <row r="150" spans="2:15" x14ac:dyDescent="0.2">
      <c r="B150" s="87">
        <f>'9. Lot Choice'!B41</f>
        <v>0</v>
      </c>
      <c r="C150" s="126">
        <v>24</v>
      </c>
      <c r="D150" s="1362" t="s">
        <v>111</v>
      </c>
      <c r="E150" s="1362"/>
      <c r="F150" s="94"/>
      <c r="G150" s="94"/>
      <c r="H150" s="94"/>
      <c r="I150" s="94"/>
      <c r="J150" s="94"/>
      <c r="N150" s="15"/>
    </row>
    <row r="151" spans="2:15" x14ac:dyDescent="0.2">
      <c r="B151" s="94"/>
      <c r="C151" s="126"/>
      <c r="D151" s="127"/>
      <c r="E151" s="94"/>
      <c r="F151" s="94"/>
      <c r="G151" s="94"/>
      <c r="H151" s="94"/>
      <c r="I151" s="94"/>
      <c r="J151" s="94"/>
      <c r="N151" s="15"/>
    </row>
    <row r="152" spans="2:15" x14ac:dyDescent="0.2">
      <c r="B152" s="84">
        <f>'9. Lot Choice'!B43</f>
        <v>0</v>
      </c>
      <c r="C152" s="128" t="s">
        <v>160</v>
      </c>
      <c r="D152" s="126"/>
      <c r="E152" s="128"/>
      <c r="F152" s="128"/>
      <c r="G152" s="128"/>
      <c r="H152" s="128"/>
      <c r="I152" s="140"/>
      <c r="J152" s="129"/>
      <c r="K152" s="13"/>
      <c r="L152" s="13"/>
      <c r="N152" s="15"/>
    </row>
    <row r="153" spans="2:15" x14ac:dyDescent="0.2">
      <c r="B153" s="94"/>
      <c r="C153" s="94"/>
      <c r="D153" s="127"/>
      <c r="E153" s="94"/>
      <c r="F153" s="94"/>
      <c r="G153" s="94"/>
      <c r="H153" s="94"/>
      <c r="I153" s="129"/>
      <c r="J153" s="129"/>
      <c r="K153" s="13"/>
      <c r="L153" s="13"/>
      <c r="N153" s="15"/>
    </row>
    <row r="154" spans="2:15" x14ac:dyDescent="0.2">
      <c r="B154" s="1358" t="s">
        <v>161</v>
      </c>
      <c r="C154" s="1358"/>
      <c r="D154" s="1358"/>
      <c r="E154" s="1392">
        <f>'9. Lot Choice'!E45</f>
        <v>0</v>
      </c>
      <c r="F154" s="1392"/>
      <c r="G154" s="1392"/>
      <c r="H154" s="1392"/>
      <c r="I154" s="130"/>
      <c r="J154" s="130"/>
      <c r="K154" s="21"/>
      <c r="L154" s="22"/>
      <c r="N154" s="15"/>
    </row>
    <row r="155" spans="2:15" x14ac:dyDescent="0.2">
      <c r="I155" s="47"/>
      <c r="J155" s="47"/>
      <c r="K155" s="13"/>
      <c r="L155" s="13"/>
    </row>
    <row r="156" spans="2:15" x14ac:dyDescent="0.2">
      <c r="B156" s="1373"/>
      <c r="C156" s="1373"/>
      <c r="D156" s="1373"/>
      <c r="E156" s="1373"/>
      <c r="F156" s="1373"/>
      <c r="G156" s="1373"/>
      <c r="H156" s="1373"/>
      <c r="I156" s="47"/>
      <c r="J156" s="47"/>
      <c r="K156" s="13"/>
      <c r="L156" s="13"/>
    </row>
    <row r="157" spans="2:15" ht="16" x14ac:dyDescent="0.2">
      <c r="B157" s="53" t="s">
        <v>184</v>
      </c>
      <c r="C157" s="54"/>
      <c r="D157" s="56"/>
      <c r="E157" s="56"/>
      <c r="F157" s="56"/>
      <c r="G157" s="64"/>
      <c r="H157" s="69"/>
      <c r="I157" s="141"/>
      <c r="J157" s="141"/>
      <c r="K157" s="91"/>
      <c r="L157" s="91"/>
      <c r="M157" s="94"/>
      <c r="N157" s="18"/>
      <c r="O157" s="18"/>
    </row>
    <row r="158" spans="2:15" ht="16" x14ac:dyDescent="0.2">
      <c r="B158" s="1366" t="s">
        <v>222</v>
      </c>
      <c r="C158" s="1366"/>
      <c r="D158" s="1366"/>
      <c r="E158" s="1366"/>
      <c r="F158" s="1366"/>
      <c r="G158" s="1366"/>
      <c r="I158" s="94"/>
      <c r="J158" s="94"/>
      <c r="K158" s="18"/>
      <c r="L158" s="18"/>
      <c r="M158" s="94"/>
      <c r="N158" s="18"/>
      <c r="O158" s="18"/>
    </row>
    <row r="159" spans="2:15" ht="16" x14ac:dyDescent="0.2">
      <c r="B159" s="70"/>
      <c r="C159" s="70"/>
      <c r="D159" s="70"/>
      <c r="E159" s="70"/>
      <c r="F159" s="70"/>
      <c r="G159" s="70"/>
      <c r="I159" s="94"/>
      <c r="J159" s="94"/>
      <c r="K159" s="18"/>
      <c r="L159" s="18"/>
      <c r="M159" s="94"/>
      <c r="N159" s="18"/>
      <c r="O159" s="18"/>
    </row>
    <row r="160" spans="2:15" x14ac:dyDescent="0.2">
      <c r="B160" s="60" t="s">
        <v>185</v>
      </c>
      <c r="C160" s="38"/>
      <c r="E160" s="60"/>
      <c r="F160" s="60"/>
      <c r="G160" s="60"/>
      <c r="H160" s="60"/>
      <c r="I160" s="94"/>
      <c r="J160" s="94"/>
      <c r="K160" s="18"/>
      <c r="L160" s="18"/>
      <c r="M160" s="94"/>
      <c r="N160" s="18"/>
      <c r="O160" s="18"/>
    </row>
    <row r="161" spans="2:15" x14ac:dyDescent="0.2">
      <c r="B161" s="132">
        <f>'10. Site'!B7</f>
        <v>0</v>
      </c>
      <c r="C161" s="133">
        <v>2</v>
      </c>
      <c r="D161" s="1367" t="s">
        <v>186</v>
      </c>
      <c r="E161" s="1367"/>
      <c r="F161" s="1367"/>
      <c r="G161" s="134"/>
      <c r="H161" s="134"/>
      <c r="I161" s="94"/>
      <c r="J161" s="94"/>
      <c r="K161" s="18"/>
      <c r="L161" s="18"/>
      <c r="M161" s="94"/>
      <c r="N161" s="18"/>
      <c r="O161" s="18"/>
    </row>
    <row r="162" spans="2:15" x14ac:dyDescent="0.2">
      <c r="B162" s="84">
        <f>'10. Site'!B8</f>
        <v>0</v>
      </c>
      <c r="C162" s="124" t="s">
        <v>47</v>
      </c>
      <c r="D162" s="1362" t="s">
        <v>187</v>
      </c>
      <c r="E162" s="1362"/>
      <c r="F162" s="1362"/>
      <c r="G162" s="136"/>
      <c r="H162" s="136"/>
      <c r="I162" s="125"/>
      <c r="J162" s="125"/>
      <c r="K162" s="125"/>
      <c r="L162" s="125"/>
      <c r="M162" s="94"/>
      <c r="N162" s="18"/>
      <c r="O162" s="18"/>
    </row>
    <row r="163" spans="2:15" x14ac:dyDescent="0.2">
      <c r="B163" s="84">
        <f>'10. Site'!B11</f>
        <v>0</v>
      </c>
      <c r="C163" s="126">
        <v>2</v>
      </c>
      <c r="D163" s="1362" t="s">
        <v>188</v>
      </c>
      <c r="E163" s="1362"/>
      <c r="F163" s="1362"/>
      <c r="G163" s="1362"/>
      <c r="H163" s="136"/>
      <c r="I163" s="125"/>
      <c r="J163" s="94"/>
      <c r="K163" s="18"/>
      <c r="L163" s="18"/>
      <c r="M163" s="94"/>
      <c r="N163" s="18"/>
      <c r="O163" s="18"/>
    </row>
    <row r="164" spans="2:15" x14ac:dyDescent="0.2">
      <c r="B164" s="87">
        <f>'10. Site'!B12</f>
        <v>0</v>
      </c>
      <c r="C164" s="124" t="s">
        <v>189</v>
      </c>
      <c r="D164" s="1362" t="s">
        <v>190</v>
      </c>
      <c r="E164" s="1362"/>
      <c r="F164" s="1362"/>
      <c r="G164" s="1362"/>
      <c r="H164" s="136"/>
      <c r="I164" s="28"/>
      <c r="J164" s="28"/>
      <c r="K164" s="28"/>
      <c r="L164" s="28"/>
      <c r="M164" s="199"/>
      <c r="N164" s="28"/>
      <c r="O164" s="28"/>
    </row>
    <row r="165" spans="2:15" x14ac:dyDescent="0.2">
      <c r="B165" s="235" t="s">
        <v>482</v>
      </c>
      <c r="C165" s="189"/>
      <c r="D165" s="189"/>
      <c r="E165" s="94"/>
      <c r="F165" s="94"/>
      <c r="G165" s="189"/>
      <c r="H165" s="189"/>
      <c r="I165" s="10"/>
      <c r="J165" s="10"/>
      <c r="K165" s="10"/>
      <c r="L165" s="10"/>
      <c r="M165" s="292"/>
      <c r="N165" s="10"/>
      <c r="O165" s="10"/>
    </row>
    <row r="166" spans="2:15" x14ac:dyDescent="0.2">
      <c r="B166" s="84">
        <f>'10. Site'!B16</f>
        <v>0</v>
      </c>
      <c r="C166" s="126">
        <v>2</v>
      </c>
      <c r="D166" s="187" t="s">
        <v>194</v>
      </c>
      <c r="E166" s="187"/>
      <c r="F166" s="187"/>
      <c r="G166" s="187"/>
      <c r="H166" s="187"/>
      <c r="I166" s="125"/>
      <c r="J166" s="125"/>
      <c r="K166" s="125"/>
      <c r="L166" s="125"/>
      <c r="M166" s="199"/>
      <c r="N166" s="18"/>
      <c r="O166" s="18"/>
    </row>
    <row r="167" spans="2:15" x14ac:dyDescent="0.2">
      <c r="B167" s="84">
        <f>'10. Site'!B17</f>
        <v>0</v>
      </c>
      <c r="C167" s="124" t="s">
        <v>47</v>
      </c>
      <c r="D167" s="187" t="s">
        <v>193</v>
      </c>
      <c r="E167" s="187"/>
      <c r="F167" s="187"/>
      <c r="G167" s="187"/>
      <c r="H167" s="187"/>
      <c r="I167" s="136"/>
      <c r="J167" s="136"/>
      <c r="K167" s="10"/>
      <c r="L167" s="10"/>
      <c r="M167" s="292"/>
      <c r="N167" s="18"/>
      <c r="O167" s="18"/>
    </row>
    <row r="168" spans="2:15" x14ac:dyDescent="0.2">
      <c r="B168" s="189" t="s">
        <v>195</v>
      </c>
      <c r="C168" s="189"/>
      <c r="D168" s="189"/>
      <c r="E168" s="189"/>
      <c r="F168" s="94"/>
      <c r="G168" s="94"/>
      <c r="H168" s="189"/>
      <c r="I168" s="94"/>
      <c r="J168" s="94"/>
      <c r="K168" s="18"/>
      <c r="L168" s="18"/>
      <c r="M168" s="94"/>
      <c r="N168" s="18"/>
      <c r="O168" s="18"/>
    </row>
    <row r="169" spans="2:15" x14ac:dyDescent="0.2">
      <c r="B169" s="84">
        <f>'10. Site'!B21</f>
        <v>2</v>
      </c>
      <c r="C169" s="126">
        <v>2</v>
      </c>
      <c r="D169" s="198" t="s">
        <v>196</v>
      </c>
      <c r="E169" s="198"/>
      <c r="F169" s="198"/>
      <c r="G169" s="198"/>
      <c r="H169" s="198"/>
      <c r="I169" s="94"/>
      <c r="J169" s="94"/>
      <c r="K169" s="18"/>
      <c r="L169" s="18"/>
      <c r="M169" s="94"/>
      <c r="N169" s="18"/>
      <c r="O169" s="18"/>
    </row>
    <row r="170" spans="2:15" x14ac:dyDescent="0.2">
      <c r="B170" s="84">
        <f>'10. Site'!B22</f>
        <v>0</v>
      </c>
      <c r="C170" s="126">
        <v>1</v>
      </c>
      <c r="D170" s="187" t="s">
        <v>197</v>
      </c>
      <c r="E170" s="187"/>
      <c r="F170" s="187"/>
      <c r="G170" s="187"/>
      <c r="H170" s="187"/>
      <c r="I170" s="94"/>
      <c r="J170" s="94"/>
      <c r="K170" s="18"/>
      <c r="L170" s="18"/>
      <c r="M170" s="94"/>
      <c r="N170" s="18"/>
      <c r="O170" s="18"/>
    </row>
    <row r="171" spans="2:15" x14ac:dyDescent="0.2">
      <c r="B171" s="84">
        <f>'10. Site'!B23</f>
        <v>0</v>
      </c>
      <c r="C171" s="126">
        <v>2</v>
      </c>
      <c r="D171" s="187" t="s">
        <v>198</v>
      </c>
      <c r="E171" s="187"/>
      <c r="F171" s="187"/>
      <c r="G171" s="187"/>
      <c r="H171" s="187"/>
      <c r="I171" s="94"/>
      <c r="J171" s="94"/>
      <c r="K171" s="18"/>
      <c r="L171" s="18"/>
      <c r="M171" s="94"/>
      <c r="N171" s="18"/>
      <c r="O171" s="18"/>
    </row>
    <row r="172" spans="2:15" x14ac:dyDescent="0.2">
      <c r="B172" s="84">
        <f>'10. Site'!B24</f>
        <v>1</v>
      </c>
      <c r="C172" s="126">
        <v>1</v>
      </c>
      <c r="D172" s="187" t="s">
        <v>199</v>
      </c>
      <c r="E172" s="187"/>
      <c r="F172" s="187"/>
      <c r="G172" s="187"/>
      <c r="H172" s="187"/>
      <c r="I172" s="94"/>
      <c r="J172" s="94"/>
      <c r="K172" s="18"/>
      <c r="L172" s="18"/>
      <c r="M172" s="94"/>
      <c r="N172" s="18"/>
      <c r="O172" s="18"/>
    </row>
    <row r="173" spans="2:15" x14ac:dyDescent="0.2">
      <c r="B173" s="84">
        <f>'10. Site'!B25</f>
        <v>0</v>
      </c>
      <c r="C173" s="126">
        <v>1</v>
      </c>
      <c r="D173" s="187" t="s">
        <v>200</v>
      </c>
      <c r="E173" s="187"/>
      <c r="F173" s="187"/>
      <c r="G173" s="187"/>
      <c r="H173" s="187"/>
      <c r="I173" s="94"/>
      <c r="J173" s="94"/>
      <c r="K173" s="18"/>
      <c r="L173" s="18"/>
      <c r="M173" s="94"/>
      <c r="N173" s="18"/>
      <c r="O173" s="18"/>
    </row>
    <row r="174" spans="2:15" x14ac:dyDescent="0.2">
      <c r="B174" s="189" t="s">
        <v>201</v>
      </c>
      <c r="C174" s="189"/>
      <c r="D174" s="189"/>
      <c r="E174" s="94"/>
      <c r="F174" s="94"/>
      <c r="G174" s="189"/>
      <c r="H174" s="189"/>
      <c r="I174" s="94"/>
      <c r="J174" s="94"/>
      <c r="K174" s="18"/>
      <c r="L174" s="18"/>
      <c r="M174" s="94"/>
      <c r="N174" s="18"/>
      <c r="O174" s="18"/>
    </row>
    <row r="175" spans="2:15" x14ac:dyDescent="0.2">
      <c r="B175" s="84">
        <f>'10. Site'!B28</f>
        <v>0</v>
      </c>
      <c r="C175" s="126">
        <v>2</v>
      </c>
      <c r="D175" s="187" t="s">
        <v>202</v>
      </c>
      <c r="E175" s="187"/>
      <c r="F175" s="187"/>
      <c r="G175" s="187"/>
      <c r="H175" s="187"/>
      <c r="I175" s="94"/>
      <c r="J175" s="94"/>
      <c r="K175" s="18"/>
      <c r="L175" s="18"/>
      <c r="M175" s="94"/>
      <c r="N175" s="18"/>
      <c r="O175" s="18"/>
    </row>
    <row r="176" spans="2:15" x14ac:dyDescent="0.2">
      <c r="B176" s="84">
        <f>'10. Site'!B29</f>
        <v>0</v>
      </c>
      <c r="C176" s="126">
        <v>2</v>
      </c>
      <c r="D176" s="187" t="s">
        <v>203</v>
      </c>
      <c r="E176" s="187"/>
      <c r="F176" s="187"/>
      <c r="G176" s="187"/>
      <c r="H176" s="187"/>
      <c r="I176" s="94"/>
      <c r="J176" s="94"/>
      <c r="K176" s="18"/>
      <c r="L176" s="18"/>
      <c r="M176" s="94"/>
      <c r="N176" s="18"/>
      <c r="O176" s="18"/>
    </row>
    <row r="177" spans="2:15" x14ac:dyDescent="0.2">
      <c r="B177" s="138">
        <f>'10. Site'!B30</f>
        <v>1</v>
      </c>
      <c r="C177" s="124" t="s">
        <v>41</v>
      </c>
      <c r="D177" s="199" t="s">
        <v>204</v>
      </c>
      <c r="E177" s="199"/>
      <c r="F177" s="199"/>
      <c r="G177" s="199"/>
      <c r="H177" s="199"/>
      <c r="I177" s="94"/>
      <c r="J177" s="94"/>
      <c r="K177" s="18"/>
      <c r="L177" s="18"/>
      <c r="M177" s="94"/>
      <c r="N177" s="18"/>
      <c r="O177" s="18"/>
    </row>
    <row r="178" spans="2:15" x14ac:dyDescent="0.2">
      <c r="B178" s="84">
        <f>'10. Site'!B36</f>
        <v>4</v>
      </c>
      <c r="C178" s="126">
        <v>37</v>
      </c>
      <c r="D178" s="139" t="s">
        <v>111</v>
      </c>
      <c r="E178" s="94"/>
      <c r="F178" s="94"/>
      <c r="G178" s="94"/>
      <c r="H178" s="94"/>
      <c r="I178" s="94"/>
      <c r="J178" s="94"/>
      <c r="K178" s="18"/>
      <c r="L178" s="18"/>
      <c r="M178" s="94"/>
      <c r="N178" s="18"/>
      <c r="O178" s="18"/>
    </row>
    <row r="179" spans="2:15" x14ac:dyDescent="0.2">
      <c r="B179" s="94"/>
      <c r="C179" s="126"/>
      <c r="D179" s="94"/>
      <c r="E179" s="94"/>
      <c r="F179" s="94"/>
      <c r="G179" s="94"/>
      <c r="H179" s="94"/>
      <c r="I179" s="94"/>
      <c r="J179" s="94"/>
      <c r="K179" s="18"/>
      <c r="L179" s="18"/>
      <c r="M179" s="94"/>
      <c r="N179" s="18"/>
      <c r="O179" s="18"/>
    </row>
    <row r="180" spans="2:15" x14ac:dyDescent="0.2">
      <c r="B180" s="84">
        <f>'10. Site'!B38</f>
        <v>4</v>
      </c>
      <c r="C180" s="128" t="s">
        <v>213</v>
      </c>
      <c r="D180" s="128"/>
      <c r="E180" s="128"/>
      <c r="F180" s="128"/>
      <c r="G180" s="128"/>
      <c r="H180" s="128"/>
      <c r="I180" s="94"/>
      <c r="J180" s="94"/>
      <c r="K180" s="18"/>
      <c r="L180" s="18"/>
      <c r="M180" s="94"/>
      <c r="N180" s="18"/>
      <c r="O180" s="18"/>
    </row>
    <row r="181" spans="2:15" x14ac:dyDescent="0.2">
      <c r="B181" s="94"/>
      <c r="C181" s="94"/>
      <c r="D181" s="94"/>
      <c r="E181" s="94"/>
      <c r="F181" s="94"/>
      <c r="G181" s="94"/>
      <c r="H181" s="94"/>
      <c r="I181" s="94"/>
      <c r="J181" s="94"/>
      <c r="K181" s="18"/>
      <c r="L181" s="18"/>
      <c r="M181" s="94"/>
      <c r="N181" s="18"/>
      <c r="O181" s="18"/>
    </row>
    <row r="182" spans="2:15" x14ac:dyDescent="0.2">
      <c r="B182" s="1369" t="s">
        <v>214</v>
      </c>
      <c r="C182" s="1369"/>
      <c r="D182" s="1369"/>
      <c r="E182" s="191">
        <f>'10. Site'!E40</f>
        <v>0</v>
      </c>
      <c r="F182" s="191"/>
      <c r="G182" s="191"/>
      <c r="H182" s="191"/>
      <c r="I182" s="94"/>
      <c r="J182" s="94"/>
      <c r="K182" s="18"/>
      <c r="L182" s="18"/>
      <c r="M182" s="94"/>
      <c r="N182" s="18"/>
      <c r="O182" s="18"/>
    </row>
    <row r="183" spans="2:15" x14ac:dyDescent="0.2">
      <c r="I183" s="94"/>
      <c r="J183" s="94"/>
      <c r="K183" s="18"/>
      <c r="L183" s="18"/>
      <c r="M183" s="94"/>
      <c r="N183" s="18"/>
      <c r="O183" s="18"/>
    </row>
    <row r="184" spans="2:15" x14ac:dyDescent="0.2">
      <c r="B184" s="1373"/>
      <c r="C184" s="1373"/>
      <c r="D184" s="1373"/>
      <c r="E184" s="1373"/>
      <c r="F184" s="1373"/>
      <c r="G184" s="1373"/>
      <c r="H184" s="1373"/>
      <c r="I184" s="94"/>
      <c r="J184" s="94"/>
      <c r="K184" s="18"/>
      <c r="L184" s="18"/>
      <c r="M184" s="94"/>
      <c r="N184" s="18"/>
      <c r="O184" s="18"/>
    </row>
    <row r="185" spans="2:15" ht="16" x14ac:dyDescent="0.2">
      <c r="B185" s="88" t="s">
        <v>339</v>
      </c>
      <c r="C185" s="89"/>
      <c r="D185" s="91"/>
      <c r="E185" s="91"/>
      <c r="F185" s="91"/>
      <c r="G185" s="92"/>
      <c r="H185" s="141"/>
      <c r="I185" s="94"/>
      <c r="J185" s="94"/>
      <c r="K185" s="18"/>
      <c r="L185" s="18"/>
      <c r="M185" s="94"/>
      <c r="N185" s="18"/>
      <c r="O185" s="18"/>
    </row>
    <row r="186" spans="2:15" ht="16" x14ac:dyDescent="0.2">
      <c r="B186" s="1360" t="s">
        <v>338</v>
      </c>
      <c r="C186" s="1360"/>
      <c r="D186" s="1360"/>
      <c r="E186" s="1360"/>
      <c r="F186" s="1360"/>
      <c r="G186" s="1360"/>
      <c r="H186" s="94"/>
      <c r="K186" s="4"/>
      <c r="L186" s="4"/>
      <c r="N186" s="4"/>
      <c r="O186" s="4"/>
    </row>
    <row r="187" spans="2:15" x14ac:dyDescent="0.2">
      <c r="B187" s="1361" t="s">
        <v>240</v>
      </c>
      <c r="C187" s="1361"/>
      <c r="D187" s="94"/>
      <c r="E187" s="94"/>
      <c r="F187" s="94"/>
      <c r="G187" s="94"/>
      <c r="H187" s="94"/>
    </row>
    <row r="188" spans="2:15" x14ac:dyDescent="0.2">
      <c r="B188" s="84">
        <f>'11. Health'!B5</f>
        <v>3</v>
      </c>
      <c r="C188" s="126">
        <v>3</v>
      </c>
      <c r="D188" s="1362" t="s">
        <v>241</v>
      </c>
      <c r="E188" s="1362"/>
      <c r="F188" s="1362"/>
      <c r="G188" s="1362"/>
      <c r="H188" s="1362"/>
    </row>
    <row r="189" spans="2:15" x14ac:dyDescent="0.2">
      <c r="B189" s="84" t="e">
        <f>'11. Health'!#REF!</f>
        <v>#REF!</v>
      </c>
      <c r="C189" s="126">
        <v>2</v>
      </c>
      <c r="D189" s="125" t="s">
        <v>242</v>
      </c>
      <c r="E189" s="125"/>
      <c r="F189" s="125"/>
      <c r="G189" s="125"/>
      <c r="H189" s="125"/>
    </row>
    <row r="190" spans="2:15" x14ac:dyDescent="0.2">
      <c r="B190" s="84">
        <f>'11. Health'!B6</f>
        <v>0</v>
      </c>
      <c r="C190" s="126">
        <v>1</v>
      </c>
      <c r="D190" s="125" t="s">
        <v>243</v>
      </c>
      <c r="E190" s="125"/>
      <c r="F190" s="125"/>
      <c r="G190" s="125"/>
      <c r="H190" s="125"/>
    </row>
    <row r="191" spans="2:15" x14ac:dyDescent="0.2">
      <c r="B191" s="86">
        <f>'11. Health'!B7</f>
        <v>1</v>
      </c>
      <c r="C191" s="126">
        <v>1</v>
      </c>
      <c r="D191" s="28" t="s">
        <v>393</v>
      </c>
      <c r="E191" s="28"/>
      <c r="F191" s="28"/>
      <c r="G191" s="28"/>
      <c r="H191" s="28"/>
    </row>
    <row r="192" spans="2:15" x14ac:dyDescent="0.2">
      <c r="B192" s="142"/>
      <c r="C192" s="126"/>
      <c r="D192" s="201" t="s">
        <v>483</v>
      </c>
      <c r="E192" s="10"/>
      <c r="F192" s="10"/>
      <c r="G192" s="10"/>
      <c r="H192" s="10"/>
    </row>
    <row r="193" spans="2:8" x14ac:dyDescent="0.2">
      <c r="B193" s="84">
        <f>'11. Health'!B8</f>
        <v>2</v>
      </c>
      <c r="C193" s="124" t="s">
        <v>47</v>
      </c>
      <c r="D193" s="239" t="s">
        <v>484</v>
      </c>
      <c r="E193" s="125"/>
      <c r="F193" s="125"/>
      <c r="G193" s="125"/>
      <c r="H193" s="125"/>
    </row>
    <row r="194" spans="2:8" x14ac:dyDescent="0.2">
      <c r="B194" s="87" t="e">
        <f>'11. Health'!#REF!</f>
        <v>#REF!</v>
      </c>
      <c r="C194" s="126">
        <v>1</v>
      </c>
      <c r="D194" s="187" t="s">
        <v>251</v>
      </c>
      <c r="E194" s="187"/>
      <c r="F194" s="187"/>
      <c r="G194" s="94"/>
      <c r="H194" s="94"/>
    </row>
    <row r="195" spans="2:8" x14ac:dyDescent="0.2">
      <c r="B195" s="186" t="s">
        <v>252</v>
      </c>
      <c r="C195" s="186"/>
      <c r="D195" s="94"/>
      <c r="E195" s="94"/>
      <c r="F195" s="94"/>
      <c r="G195" s="94"/>
      <c r="H195" s="94"/>
    </row>
    <row r="196" spans="2:8" x14ac:dyDescent="0.2">
      <c r="B196" s="84">
        <f>'11. Health'!B16</f>
        <v>0</v>
      </c>
      <c r="C196" s="126">
        <v>1</v>
      </c>
      <c r="D196" s="187" t="s">
        <v>253</v>
      </c>
      <c r="E196" s="187"/>
      <c r="F196" s="187"/>
      <c r="G196" s="187"/>
      <c r="H196" s="187"/>
    </row>
    <row r="197" spans="2:8" x14ac:dyDescent="0.2">
      <c r="B197" s="84">
        <f>'11. Health'!B17</f>
        <v>0</v>
      </c>
      <c r="C197" s="126">
        <v>1</v>
      </c>
      <c r="D197" s="187" t="s">
        <v>254</v>
      </c>
      <c r="E197" s="187"/>
      <c r="F197" s="187"/>
      <c r="G197" s="187"/>
      <c r="H197" s="94"/>
    </row>
    <row r="198" spans="2:8" x14ac:dyDescent="0.2">
      <c r="B198" s="84">
        <f>'11. Health'!B18</f>
        <v>0</v>
      </c>
      <c r="C198" s="126">
        <v>1</v>
      </c>
      <c r="D198" s="187" t="s">
        <v>255</v>
      </c>
      <c r="E198" s="187"/>
      <c r="F198" s="187"/>
      <c r="G198" s="187"/>
      <c r="H198" s="187"/>
    </row>
    <row r="199" spans="2:8" x14ac:dyDescent="0.2">
      <c r="B199" s="84">
        <f>'11. Health'!B19</f>
        <v>1</v>
      </c>
      <c r="C199" s="126">
        <v>1</v>
      </c>
      <c r="D199" s="187" t="s">
        <v>256</v>
      </c>
      <c r="E199" s="187"/>
      <c r="F199" s="187"/>
      <c r="G199" s="94"/>
      <c r="H199" s="94"/>
    </row>
    <row r="200" spans="2:8" x14ac:dyDescent="0.2">
      <c r="B200" s="84">
        <f>'11. Health'!B20</f>
        <v>0</v>
      </c>
      <c r="C200" s="126">
        <v>1</v>
      </c>
      <c r="D200" s="187" t="s">
        <v>257</v>
      </c>
      <c r="E200" s="187"/>
      <c r="F200" s="187"/>
      <c r="G200" s="187"/>
      <c r="H200" s="187"/>
    </row>
    <row r="201" spans="2:8" x14ac:dyDescent="0.2">
      <c r="B201" s="86">
        <f>'11. Health'!B21</f>
        <v>0</v>
      </c>
      <c r="C201" s="126">
        <v>3</v>
      </c>
      <c r="D201" s="187" t="s">
        <v>258</v>
      </c>
      <c r="E201" s="187"/>
      <c r="F201" s="187"/>
      <c r="G201" s="187"/>
      <c r="H201" s="94"/>
    </row>
    <row r="202" spans="2:8" x14ac:dyDescent="0.2">
      <c r="B202" s="84">
        <f>'11. Health'!B22</f>
        <v>1</v>
      </c>
      <c r="C202" s="126">
        <v>1</v>
      </c>
      <c r="D202" s="187" t="s">
        <v>259</v>
      </c>
      <c r="E202" s="187"/>
      <c r="F202" s="187"/>
      <c r="G202" s="187"/>
      <c r="H202" s="187"/>
    </row>
    <row r="203" spans="2:8" x14ac:dyDescent="0.2">
      <c r="B203" s="235" t="s">
        <v>470</v>
      </c>
      <c r="C203" s="189"/>
      <c r="D203" s="189"/>
      <c r="E203" s="94"/>
      <c r="F203" s="94"/>
      <c r="G203" s="94"/>
      <c r="H203" s="94"/>
    </row>
    <row r="204" spans="2:8" x14ac:dyDescent="0.2">
      <c r="B204" s="84">
        <f>'11. Health'!B27</f>
        <v>1</v>
      </c>
      <c r="C204" s="126">
        <v>1</v>
      </c>
      <c r="D204" s="187" t="s">
        <v>261</v>
      </c>
      <c r="E204" s="187"/>
      <c r="F204" s="187"/>
      <c r="G204" s="187"/>
      <c r="H204" s="187"/>
    </row>
    <row r="205" spans="2:8" x14ac:dyDescent="0.2">
      <c r="B205" s="84" t="e">
        <f>'11. Health'!#REF!</f>
        <v>#REF!</v>
      </c>
      <c r="C205" s="126">
        <v>2</v>
      </c>
      <c r="D205" s="187" t="s">
        <v>262</v>
      </c>
      <c r="E205" s="187"/>
      <c r="F205" s="187"/>
      <c r="G205" s="187"/>
      <c r="H205" s="94"/>
    </row>
    <row r="206" spans="2:8" x14ac:dyDescent="0.2">
      <c r="B206" s="84">
        <f>'11. Health'!B28</f>
        <v>0</v>
      </c>
      <c r="C206" s="126">
        <v>1</v>
      </c>
      <c r="D206" s="187" t="s">
        <v>263</v>
      </c>
      <c r="E206" s="187"/>
      <c r="F206" s="187"/>
      <c r="G206" s="187"/>
      <c r="H206" s="94"/>
    </row>
    <row r="207" spans="2:8" x14ac:dyDescent="0.2">
      <c r="B207" s="84">
        <f>'11. Health'!B29</f>
        <v>1</v>
      </c>
      <c r="C207" s="126">
        <v>1</v>
      </c>
      <c r="D207" s="187" t="s">
        <v>264</v>
      </c>
      <c r="E207" s="187"/>
      <c r="F207" s="187"/>
      <c r="G207" s="187"/>
      <c r="H207" s="94"/>
    </row>
    <row r="208" spans="2:8" x14ac:dyDescent="0.2">
      <c r="B208" s="84">
        <f>'11. Health'!B30</f>
        <v>1</v>
      </c>
      <c r="C208" s="126">
        <v>1</v>
      </c>
      <c r="D208" s="187" t="s">
        <v>265</v>
      </c>
      <c r="E208" s="187"/>
      <c r="F208" s="187"/>
      <c r="G208" s="94"/>
      <c r="H208" s="94"/>
    </row>
    <row r="209" spans="2:11" x14ac:dyDescent="0.2">
      <c r="B209" s="84">
        <f>'11. Health'!B31</f>
        <v>0</v>
      </c>
      <c r="C209" s="126">
        <v>1</v>
      </c>
      <c r="D209" s="240" t="s">
        <v>485</v>
      </c>
      <c r="E209" s="187"/>
      <c r="F209" s="187"/>
      <c r="G209" s="94"/>
      <c r="H209" s="94"/>
    </row>
    <row r="210" spans="2:11" x14ac:dyDescent="0.2">
      <c r="B210" s="84">
        <f>'11. Health'!B32</f>
        <v>1</v>
      </c>
      <c r="C210" s="126">
        <v>1</v>
      </c>
      <c r="D210" s="187" t="s">
        <v>266</v>
      </c>
      <c r="E210" s="187"/>
      <c r="F210" s="94"/>
      <c r="G210" s="94"/>
      <c r="H210" s="94"/>
    </row>
    <row r="211" spans="2:11" x14ac:dyDescent="0.2">
      <c r="B211" s="84">
        <f>'11. Health'!B33</f>
        <v>1</v>
      </c>
      <c r="C211" s="126">
        <v>1</v>
      </c>
      <c r="D211" s="187" t="s">
        <v>267</v>
      </c>
      <c r="E211" s="187"/>
      <c r="F211" s="187"/>
      <c r="G211" s="187"/>
      <c r="H211" s="94"/>
    </row>
    <row r="212" spans="2:11" x14ac:dyDescent="0.2">
      <c r="B212" s="84">
        <f>'11. Health'!B35</f>
        <v>0</v>
      </c>
      <c r="C212" s="126">
        <v>3</v>
      </c>
      <c r="D212" s="200" t="s">
        <v>268</v>
      </c>
      <c r="E212" s="200"/>
      <c r="F212" s="200"/>
      <c r="G212" s="200"/>
      <c r="H212" s="94"/>
    </row>
    <row r="213" spans="2:11" x14ac:dyDescent="0.2">
      <c r="B213" s="189" t="s">
        <v>269</v>
      </c>
      <c r="C213" s="189"/>
      <c r="D213" s="94"/>
      <c r="E213" s="94"/>
      <c r="F213" s="94"/>
      <c r="G213" s="94"/>
      <c r="H213" s="94"/>
    </row>
    <row r="214" spans="2:11" x14ac:dyDescent="0.2">
      <c r="B214" s="84">
        <f>'11. Health'!B38</f>
        <v>0</v>
      </c>
      <c r="C214" s="124" t="s">
        <v>270</v>
      </c>
      <c r="D214" s="187" t="s">
        <v>271</v>
      </c>
      <c r="E214" s="187"/>
      <c r="F214" s="187"/>
      <c r="G214" s="94"/>
      <c r="H214" s="94"/>
    </row>
    <row r="215" spans="2:11" x14ac:dyDescent="0.2">
      <c r="B215" s="84" t="e">
        <f>'11. Health'!#REF!</f>
        <v>#REF!</v>
      </c>
      <c r="C215" s="126">
        <v>1</v>
      </c>
      <c r="D215" s="187" t="s">
        <v>275</v>
      </c>
      <c r="E215" s="187"/>
      <c r="F215" s="94"/>
      <c r="G215" s="94"/>
      <c r="H215" s="144"/>
      <c r="I215" s="14"/>
      <c r="J215" s="14"/>
      <c r="K215" s="4"/>
    </row>
    <row r="216" spans="2:11" x14ac:dyDescent="0.2">
      <c r="B216" s="84">
        <f>'11. Health'!B41</f>
        <v>0</v>
      </c>
      <c r="C216" s="126">
        <v>1</v>
      </c>
      <c r="D216" s="187" t="s">
        <v>276</v>
      </c>
      <c r="E216" s="187"/>
      <c r="F216" s="94"/>
      <c r="G216" s="94"/>
      <c r="H216" s="94"/>
      <c r="I216" s="14"/>
      <c r="J216" s="14"/>
      <c r="K216" s="4"/>
    </row>
    <row r="217" spans="2:11" x14ac:dyDescent="0.2">
      <c r="B217" s="84" t="e">
        <f>'11. Health'!#REF!</f>
        <v>#REF!</v>
      </c>
      <c r="C217" s="126">
        <v>1</v>
      </c>
      <c r="D217" s="187" t="s">
        <v>277</v>
      </c>
      <c r="E217" s="187"/>
      <c r="F217" s="187"/>
      <c r="G217" s="187"/>
      <c r="H217" s="94"/>
      <c r="I217" s="14"/>
      <c r="J217" s="14"/>
      <c r="K217" s="4"/>
    </row>
    <row r="218" spans="2:11" x14ac:dyDescent="0.2">
      <c r="B218" s="235" t="s">
        <v>471</v>
      </c>
      <c r="C218" s="126"/>
      <c r="D218" s="94"/>
      <c r="E218" s="94"/>
      <c r="F218" s="94"/>
      <c r="G218" s="94"/>
      <c r="H218" s="94"/>
      <c r="I218" s="14"/>
      <c r="J218" s="14"/>
      <c r="K218" s="4"/>
    </row>
    <row r="219" spans="2:11" x14ac:dyDescent="0.2">
      <c r="B219" s="84" t="e">
        <f>'11. Health'!#REF!</f>
        <v>#REF!</v>
      </c>
      <c r="C219" s="126">
        <v>1</v>
      </c>
      <c r="D219" s="187" t="s">
        <v>279</v>
      </c>
      <c r="E219" s="187"/>
      <c r="F219" s="187"/>
      <c r="G219" s="94"/>
      <c r="H219" s="94"/>
      <c r="I219" s="14"/>
      <c r="J219" s="14"/>
      <c r="K219" s="4"/>
    </row>
    <row r="220" spans="2:11" x14ac:dyDescent="0.2">
      <c r="B220" s="84">
        <f>'11. Health'!B44</f>
        <v>0</v>
      </c>
      <c r="C220" s="124" t="s">
        <v>280</v>
      </c>
      <c r="D220" s="187" t="s">
        <v>281</v>
      </c>
      <c r="E220" s="187"/>
      <c r="F220" s="187"/>
      <c r="G220" s="187"/>
      <c r="H220" s="94"/>
      <c r="I220" s="14"/>
      <c r="J220" s="14"/>
      <c r="K220" s="4"/>
    </row>
    <row r="221" spans="2:11" x14ac:dyDescent="0.2">
      <c r="B221" s="189" t="s">
        <v>282</v>
      </c>
      <c r="C221" s="189"/>
      <c r="D221" s="94"/>
      <c r="E221" s="94"/>
      <c r="F221" s="94"/>
      <c r="G221" s="94"/>
      <c r="H221" s="94"/>
      <c r="I221" s="14"/>
      <c r="J221" s="14"/>
      <c r="K221" s="4"/>
    </row>
    <row r="222" spans="2:11" x14ac:dyDescent="0.2">
      <c r="B222" s="84">
        <f>'11. Health'!B47</f>
        <v>2</v>
      </c>
      <c r="C222" s="126">
        <v>4</v>
      </c>
      <c r="D222" s="236" t="s">
        <v>283</v>
      </c>
      <c r="E222" s="198"/>
      <c r="F222" s="198"/>
      <c r="G222" s="198"/>
      <c r="H222" s="94"/>
      <c r="I222" s="14"/>
      <c r="J222" s="14"/>
      <c r="K222" s="4"/>
    </row>
    <row r="223" spans="2:11" x14ac:dyDescent="0.2">
      <c r="B223" s="84">
        <f>'11. Health'!B48</f>
        <v>0</v>
      </c>
      <c r="C223" s="126">
        <v>1</v>
      </c>
      <c r="D223" s="187" t="s">
        <v>284</v>
      </c>
      <c r="E223" s="187"/>
      <c r="F223" s="187"/>
      <c r="G223" s="187"/>
      <c r="H223" s="94"/>
      <c r="I223" s="14"/>
      <c r="J223" s="14"/>
      <c r="K223" s="4"/>
    </row>
    <row r="224" spans="2:11" x14ac:dyDescent="0.2">
      <c r="B224" s="84">
        <f>'11. Health'!B49</f>
        <v>0</v>
      </c>
      <c r="C224" s="126">
        <v>1</v>
      </c>
      <c r="D224" s="187" t="s">
        <v>285</v>
      </c>
      <c r="E224" s="187"/>
      <c r="F224" s="94"/>
      <c r="G224" s="94"/>
      <c r="H224" s="94"/>
      <c r="I224" s="14"/>
      <c r="J224" s="14"/>
      <c r="K224" s="4"/>
    </row>
    <row r="225" spans="2:15" x14ac:dyDescent="0.2">
      <c r="B225" s="84">
        <f>'11. Health'!B50</f>
        <v>0</v>
      </c>
      <c r="C225" s="126">
        <v>1</v>
      </c>
      <c r="D225" s="240" t="s">
        <v>472</v>
      </c>
      <c r="E225" s="187"/>
      <c r="F225" s="187"/>
      <c r="G225" s="187"/>
      <c r="H225" s="187"/>
      <c r="I225" s="14"/>
      <c r="J225" s="14"/>
      <c r="K225" s="4"/>
    </row>
    <row r="226" spans="2:15" x14ac:dyDescent="0.2">
      <c r="B226" s="84">
        <f>'11. Health'!B51</f>
        <v>1</v>
      </c>
      <c r="C226" s="126">
        <v>1</v>
      </c>
      <c r="D226" s="187" t="s">
        <v>286</v>
      </c>
      <c r="E226" s="187"/>
      <c r="F226" s="187"/>
      <c r="G226" s="187"/>
      <c r="H226" s="94"/>
      <c r="I226" s="14"/>
      <c r="J226" s="14"/>
      <c r="K226" s="4"/>
    </row>
    <row r="227" spans="2:15" x14ac:dyDescent="0.2">
      <c r="B227" s="84">
        <f>'11. Health'!B52</f>
        <v>1</v>
      </c>
      <c r="C227" s="126">
        <v>1</v>
      </c>
      <c r="D227" s="199" t="s">
        <v>287</v>
      </c>
      <c r="E227" s="199"/>
      <c r="F227" s="199"/>
      <c r="G227" s="199"/>
      <c r="H227" s="199"/>
      <c r="I227" s="14"/>
      <c r="J227" s="14"/>
      <c r="K227" s="4"/>
    </row>
    <row r="228" spans="2:15" x14ac:dyDescent="0.2">
      <c r="B228" s="84">
        <f>'11. Health'!B53</f>
        <v>0</v>
      </c>
      <c r="C228" s="126">
        <v>3</v>
      </c>
      <c r="D228" s="187" t="s">
        <v>288</v>
      </c>
      <c r="E228" s="187"/>
      <c r="F228" s="187"/>
      <c r="G228" s="187"/>
      <c r="H228" s="94"/>
      <c r="I228" s="14"/>
      <c r="J228" s="14"/>
      <c r="K228" s="4"/>
    </row>
    <row r="229" spans="2:15" x14ac:dyDescent="0.2">
      <c r="B229" s="86">
        <f>'11. Health'!B54</f>
        <v>1</v>
      </c>
      <c r="C229" s="124" t="s">
        <v>47</v>
      </c>
      <c r="D229" s="241" t="s">
        <v>452</v>
      </c>
      <c r="E229" s="199"/>
      <c r="F229" s="199"/>
      <c r="G229" s="199"/>
      <c r="H229" s="199"/>
      <c r="I229" s="14"/>
      <c r="J229" s="14"/>
      <c r="K229" s="4"/>
    </row>
    <row r="230" spans="2:15" x14ac:dyDescent="0.2">
      <c r="B230" s="84">
        <f>'11. Health'!B55</f>
        <v>1</v>
      </c>
      <c r="C230" s="126">
        <v>1</v>
      </c>
      <c r="D230" s="187" t="s">
        <v>289</v>
      </c>
      <c r="E230" s="187"/>
      <c r="F230" s="187"/>
      <c r="G230" s="187"/>
      <c r="H230" s="94"/>
      <c r="I230" s="14"/>
      <c r="J230" s="14"/>
      <c r="K230" s="4"/>
    </row>
    <row r="231" spans="2:15" x14ac:dyDescent="0.2">
      <c r="B231" s="84">
        <f>'11. Health'!B56</f>
        <v>0</v>
      </c>
      <c r="C231" s="126">
        <v>1</v>
      </c>
      <c r="D231" s="199" t="s">
        <v>290</v>
      </c>
      <c r="E231" s="199"/>
      <c r="F231" s="199"/>
      <c r="G231" s="199"/>
      <c r="H231" s="199"/>
    </row>
    <row r="232" spans="2:15" x14ac:dyDescent="0.2">
      <c r="B232" s="84" t="e">
        <f>'11. Health'!#REF!</f>
        <v>#REF!</v>
      </c>
      <c r="C232" s="126">
        <v>3</v>
      </c>
      <c r="D232" s="199" t="s">
        <v>291</v>
      </c>
      <c r="E232" s="199"/>
      <c r="F232" s="199"/>
      <c r="G232" s="199"/>
      <c r="H232" s="199"/>
    </row>
    <row r="233" spans="2:15" x14ac:dyDescent="0.2">
      <c r="B233" s="84" t="e">
        <f>'11. Health'!#REF!</f>
        <v>#REF!</v>
      </c>
      <c r="C233" s="126">
        <v>1</v>
      </c>
      <c r="D233" s="201" t="s">
        <v>292</v>
      </c>
      <c r="E233" s="201"/>
      <c r="F233" s="201"/>
      <c r="G233" s="201"/>
      <c r="H233" s="201"/>
    </row>
    <row r="234" spans="2:15" x14ac:dyDescent="0.2">
      <c r="B234" s="84">
        <f>'11. Health'!B57</f>
        <v>1</v>
      </c>
      <c r="C234" s="126">
        <v>1</v>
      </c>
      <c r="D234" s="1363" t="s">
        <v>293</v>
      </c>
      <c r="E234" s="1363"/>
      <c r="F234" s="1363"/>
      <c r="G234" s="187"/>
      <c r="H234" s="94"/>
      <c r="K234" s="4"/>
      <c r="L234" s="4"/>
      <c r="N234" s="4"/>
      <c r="O234" s="4"/>
    </row>
    <row r="235" spans="2:15" x14ac:dyDescent="0.2">
      <c r="B235" s="84">
        <f>'11. Health'!B58</f>
        <v>22</v>
      </c>
      <c r="C235" s="126">
        <v>61</v>
      </c>
      <c r="D235" s="139" t="s">
        <v>111</v>
      </c>
      <c r="K235" s="4"/>
      <c r="L235" s="4"/>
      <c r="N235" s="4"/>
      <c r="O235" s="4"/>
    </row>
    <row r="236" spans="2:15" x14ac:dyDescent="0.2">
      <c r="B236" s="84">
        <f>'11. Health'!B60</f>
        <v>22</v>
      </c>
      <c r="C236" s="1370" t="s">
        <v>294</v>
      </c>
      <c r="D236" s="1371"/>
      <c r="E236" s="1371"/>
      <c r="F236" s="1371"/>
      <c r="G236" s="1371"/>
      <c r="K236" s="4"/>
      <c r="L236" s="4"/>
      <c r="N236" s="4"/>
      <c r="O236" s="4"/>
    </row>
    <row r="237" spans="2:15" x14ac:dyDescent="0.2">
      <c r="B237" s="1369" t="s">
        <v>295</v>
      </c>
      <c r="C237" s="1369"/>
      <c r="D237" s="1369"/>
      <c r="E237" s="1392">
        <f>'11. Health'!E62</f>
        <v>0</v>
      </c>
      <c r="F237" s="1392"/>
      <c r="G237" s="1392"/>
      <c r="H237" s="1392"/>
      <c r="K237" s="4"/>
      <c r="L237" s="4"/>
      <c r="N237" s="145"/>
      <c r="O237" s="94"/>
    </row>
    <row r="238" spans="2:15" ht="9.75" customHeight="1" x14ac:dyDescent="0.2">
      <c r="B238" s="1373"/>
      <c r="C238" s="1373"/>
      <c r="D238" s="1373"/>
      <c r="E238" s="1373"/>
      <c r="F238" s="1373"/>
      <c r="G238" s="1373"/>
      <c r="H238" s="1374"/>
      <c r="K238" s="4"/>
      <c r="L238" s="94"/>
      <c r="M238" s="94"/>
      <c r="N238" s="94"/>
      <c r="O238" s="94"/>
    </row>
    <row r="239" spans="2:15" ht="16" x14ac:dyDescent="0.2">
      <c r="B239" s="53" t="s">
        <v>340</v>
      </c>
      <c r="C239" s="54"/>
      <c r="D239" s="56"/>
      <c r="E239" s="56"/>
      <c r="F239" s="56"/>
      <c r="G239" s="64"/>
      <c r="H239" s="75"/>
      <c r="I239" s="94"/>
      <c r="J239" s="126"/>
      <c r="K239" s="94"/>
      <c r="L239" s="94"/>
      <c r="M239" s="94"/>
      <c r="N239" s="94"/>
      <c r="O239" s="94"/>
    </row>
    <row r="240" spans="2:15" ht="16" x14ac:dyDescent="0.2">
      <c r="B240" s="1366" t="s">
        <v>341</v>
      </c>
      <c r="C240" s="1366"/>
      <c r="D240" s="1366"/>
      <c r="E240" s="1366"/>
      <c r="F240" s="1366"/>
      <c r="G240" s="1366"/>
      <c r="K240" s="4"/>
      <c r="L240" s="4"/>
      <c r="N240" s="4"/>
      <c r="O240" s="128"/>
    </row>
    <row r="241" spans="2:15" ht="6.75" customHeight="1" x14ac:dyDescent="0.2">
      <c r="B241" s="73"/>
      <c r="C241" s="73"/>
      <c r="D241" s="74"/>
      <c r="E241" s="74"/>
      <c r="I241" s="94"/>
      <c r="J241" s="94"/>
      <c r="K241" s="94"/>
      <c r="L241" s="94"/>
      <c r="M241" s="94"/>
      <c r="N241" s="94"/>
      <c r="O241" s="94"/>
    </row>
    <row r="242" spans="2:15" x14ac:dyDescent="0.2">
      <c r="B242" s="1372" t="s">
        <v>296</v>
      </c>
      <c r="C242" s="1372"/>
      <c r="K242" s="4"/>
      <c r="L242" s="4"/>
      <c r="N242" s="4"/>
      <c r="O242" s="4"/>
    </row>
    <row r="243" spans="2:15" x14ac:dyDescent="0.2">
      <c r="B243" s="84">
        <f>'12. Materials'!B5</f>
        <v>0</v>
      </c>
      <c r="C243" s="126">
        <v>1</v>
      </c>
      <c r="D243" s="1362" t="s">
        <v>297</v>
      </c>
      <c r="E243" s="1362"/>
      <c r="F243" s="1362"/>
      <c r="G243" s="1362"/>
      <c r="H243" s="94"/>
      <c r="I243" s="94"/>
    </row>
    <row r="244" spans="2:15" x14ac:dyDescent="0.2">
      <c r="B244" s="84" t="e">
        <f>'12. Materials'!#REF!</f>
        <v>#REF!</v>
      </c>
      <c r="C244" s="124" t="s">
        <v>47</v>
      </c>
      <c r="D244" s="1362" t="s">
        <v>298</v>
      </c>
      <c r="E244" s="1362"/>
      <c r="F244" s="1362"/>
      <c r="G244" s="1362"/>
      <c r="H244" s="1362"/>
      <c r="I244" s="94"/>
    </row>
    <row r="245" spans="2:15" x14ac:dyDescent="0.2">
      <c r="B245" s="84">
        <f>'12. Materials'!B6</f>
        <v>0</v>
      </c>
      <c r="C245" s="124" t="s">
        <v>72</v>
      </c>
      <c r="D245" s="1362" t="s">
        <v>301</v>
      </c>
      <c r="E245" s="1362"/>
      <c r="F245" s="1362"/>
      <c r="G245" s="94"/>
      <c r="H245" s="94"/>
      <c r="I245" s="94"/>
    </row>
    <row r="246" spans="2:15" x14ac:dyDescent="0.2">
      <c r="B246" s="84">
        <f>'12. Materials'!B9</f>
        <v>0</v>
      </c>
      <c r="C246" s="126">
        <v>1</v>
      </c>
      <c r="D246" s="1362" t="s">
        <v>302</v>
      </c>
      <c r="E246" s="1362"/>
      <c r="F246" s="1362"/>
      <c r="G246" s="1362"/>
      <c r="H246" s="1362"/>
      <c r="I246" s="94"/>
    </row>
    <row r="247" spans="2:15" x14ac:dyDescent="0.2">
      <c r="B247" s="84">
        <f>'12. Materials'!B10</f>
        <v>0</v>
      </c>
      <c r="C247" s="126">
        <v>1</v>
      </c>
      <c r="D247" s="1363" t="s">
        <v>303</v>
      </c>
      <c r="E247" s="1363"/>
      <c r="F247" s="1363"/>
      <c r="G247" s="1363"/>
      <c r="H247" s="1363"/>
      <c r="I247" s="94"/>
    </row>
    <row r="248" spans="2:15" x14ac:dyDescent="0.2">
      <c r="B248" s="84">
        <f>'12. Materials'!B11</f>
        <v>0</v>
      </c>
      <c r="C248" s="126">
        <v>1</v>
      </c>
      <c r="D248" s="1362" t="s">
        <v>304</v>
      </c>
      <c r="E248" s="1362"/>
      <c r="F248" s="1362"/>
      <c r="G248" s="1362"/>
      <c r="H248" s="1362"/>
      <c r="I248" s="94"/>
    </row>
    <row r="249" spans="2:15" x14ac:dyDescent="0.2">
      <c r="B249" s="84">
        <f>'12. Materials'!B12</f>
        <v>0</v>
      </c>
      <c r="C249" s="126">
        <v>1</v>
      </c>
      <c r="D249" s="1362" t="s">
        <v>305</v>
      </c>
      <c r="E249" s="1362"/>
      <c r="F249" s="1362"/>
      <c r="G249" s="94"/>
      <c r="H249" s="94"/>
      <c r="I249" s="94"/>
    </row>
    <row r="250" spans="2:15" x14ac:dyDescent="0.2">
      <c r="B250" s="84">
        <f>'12. Materials'!B13</f>
        <v>0</v>
      </c>
      <c r="C250" s="126">
        <v>1</v>
      </c>
      <c r="D250" s="1362" t="s">
        <v>306</v>
      </c>
      <c r="E250" s="1362"/>
      <c r="F250" s="1362"/>
      <c r="G250" s="94"/>
      <c r="H250" s="94"/>
      <c r="I250" s="94"/>
    </row>
    <row r="251" spans="2:15" x14ac:dyDescent="0.2">
      <c r="B251" s="84">
        <f>'12. Materials'!B14</f>
        <v>0</v>
      </c>
      <c r="C251" s="126">
        <v>1</v>
      </c>
      <c r="D251" s="1362" t="s">
        <v>307</v>
      </c>
      <c r="E251" s="1362"/>
      <c r="F251" s="1362"/>
      <c r="G251" s="94"/>
      <c r="H251" s="94"/>
      <c r="I251" s="94"/>
    </row>
    <row r="252" spans="2:15" x14ac:dyDescent="0.2">
      <c r="B252" s="84" t="e">
        <f>'12. Materials'!#REF!</f>
        <v>#REF!</v>
      </c>
      <c r="C252" s="126">
        <v>1</v>
      </c>
      <c r="D252" s="1362" t="s">
        <v>308</v>
      </c>
      <c r="E252" s="1362"/>
      <c r="F252" s="1362"/>
      <c r="G252" s="1362"/>
      <c r="H252" s="1362"/>
      <c r="I252" s="94"/>
    </row>
    <row r="253" spans="2:15" x14ac:dyDescent="0.2">
      <c r="B253" s="84" t="e">
        <f>'12. Materials'!#REF!</f>
        <v>#REF!</v>
      </c>
      <c r="C253" s="126">
        <v>1</v>
      </c>
      <c r="D253" s="187" t="s">
        <v>309</v>
      </c>
      <c r="E253" s="187"/>
      <c r="F253" s="187"/>
      <c r="G253" s="187"/>
      <c r="H253" s="94"/>
      <c r="I253" s="94"/>
    </row>
    <row r="254" spans="2:15" x14ac:dyDescent="0.2">
      <c r="B254" s="84" t="e">
        <f>'12. Materials'!#REF!</f>
        <v>#REF!</v>
      </c>
      <c r="C254" s="126">
        <v>1</v>
      </c>
      <c r="D254" s="187" t="s">
        <v>310</v>
      </c>
      <c r="E254" s="187"/>
      <c r="F254" s="94"/>
      <c r="G254" s="94"/>
      <c r="H254" s="94"/>
      <c r="I254" s="94"/>
    </row>
    <row r="255" spans="2:15" x14ac:dyDescent="0.2">
      <c r="B255" s="84">
        <f>'12. Materials'!B15</f>
        <v>0</v>
      </c>
      <c r="C255" s="126">
        <v>1</v>
      </c>
      <c r="D255" s="187" t="s">
        <v>311</v>
      </c>
      <c r="E255" s="187"/>
      <c r="F255" s="94"/>
      <c r="G255" s="94"/>
      <c r="H255" s="94"/>
      <c r="I255" s="94"/>
    </row>
    <row r="256" spans="2:15" x14ac:dyDescent="0.2">
      <c r="B256" s="84">
        <f>'12. Materials'!B16</f>
        <v>0</v>
      </c>
      <c r="C256" s="126">
        <v>1</v>
      </c>
      <c r="D256" s="187" t="s">
        <v>312</v>
      </c>
      <c r="E256" s="187"/>
      <c r="F256" s="187"/>
      <c r="G256" s="94"/>
      <c r="H256" s="94"/>
      <c r="I256" s="94"/>
    </row>
    <row r="257" spans="2:13" x14ac:dyDescent="0.2">
      <c r="B257" s="84">
        <f>'12. Materials'!B17</f>
        <v>0</v>
      </c>
      <c r="C257" s="126">
        <v>1</v>
      </c>
      <c r="D257" s="187" t="s">
        <v>313</v>
      </c>
      <c r="E257" s="187"/>
      <c r="F257" s="187"/>
      <c r="G257" s="94"/>
      <c r="H257" s="94"/>
      <c r="I257" s="94"/>
    </row>
    <row r="258" spans="2:13" x14ac:dyDescent="0.2">
      <c r="B258" s="84">
        <f>'12. Materials'!B18</f>
        <v>1</v>
      </c>
      <c r="C258" s="124" t="s">
        <v>47</v>
      </c>
      <c r="D258" s="187" t="s">
        <v>314</v>
      </c>
      <c r="E258" s="187"/>
      <c r="F258" s="187"/>
      <c r="G258" s="94"/>
      <c r="H258" s="94"/>
      <c r="I258" s="94"/>
    </row>
    <row r="259" spans="2:13" x14ac:dyDescent="0.2">
      <c r="B259" s="189" t="s">
        <v>315</v>
      </c>
      <c r="C259" s="189"/>
      <c r="D259" s="94"/>
      <c r="E259" s="94"/>
      <c r="F259" s="94"/>
      <c r="G259" s="94"/>
      <c r="H259" s="94"/>
      <c r="I259" s="125"/>
    </row>
    <row r="260" spans="2:13" x14ac:dyDescent="0.2">
      <c r="B260" s="84">
        <f>'12. Materials'!B25</f>
        <v>0</v>
      </c>
      <c r="C260" s="126">
        <v>3</v>
      </c>
      <c r="D260" s="187" t="s">
        <v>316</v>
      </c>
      <c r="E260" s="187"/>
      <c r="F260" s="187"/>
      <c r="G260" s="187"/>
      <c r="H260" s="187"/>
      <c r="I260" s="94"/>
    </row>
    <row r="261" spans="2:13" x14ac:dyDescent="0.2">
      <c r="B261" s="86">
        <f>'12. Materials'!B26</f>
        <v>0</v>
      </c>
      <c r="C261" s="126">
        <v>2</v>
      </c>
      <c r="D261" s="236" t="s">
        <v>486</v>
      </c>
      <c r="E261" s="200"/>
      <c r="F261" s="200"/>
      <c r="G261" s="200"/>
      <c r="H261" s="94"/>
      <c r="I261" s="94"/>
    </row>
    <row r="262" spans="2:13" x14ac:dyDescent="0.2">
      <c r="B262" s="84">
        <f>'12. Materials'!B27</f>
        <v>0</v>
      </c>
      <c r="C262" s="124" t="s">
        <v>317</v>
      </c>
      <c r="D262" s="240" t="s">
        <v>318</v>
      </c>
      <c r="E262" s="187"/>
      <c r="F262" s="187"/>
      <c r="G262" s="187"/>
      <c r="H262" s="94"/>
      <c r="I262" s="94"/>
    </row>
    <row r="263" spans="2:13" x14ac:dyDescent="0.2">
      <c r="B263" s="84">
        <f>'12. Materials'!B30</f>
        <v>0</v>
      </c>
      <c r="C263" s="126">
        <v>1</v>
      </c>
      <c r="D263" s="187" t="s">
        <v>320</v>
      </c>
      <c r="E263" s="187"/>
      <c r="F263" s="187"/>
      <c r="G263" s="187"/>
      <c r="H263" s="187"/>
      <c r="I263" s="94"/>
    </row>
    <row r="264" spans="2:13" x14ac:dyDescent="0.2">
      <c r="B264" s="87">
        <f>'12. Materials'!B35</f>
        <v>0</v>
      </c>
      <c r="C264" s="126">
        <v>1</v>
      </c>
      <c r="D264" s="187" t="s">
        <v>321</v>
      </c>
      <c r="E264" s="187"/>
      <c r="F264" s="187"/>
      <c r="G264" s="187"/>
      <c r="H264" s="94"/>
      <c r="I264" s="94"/>
    </row>
    <row r="265" spans="2:13" x14ac:dyDescent="0.2">
      <c r="B265" s="84">
        <f>'12. Materials'!B36</f>
        <v>0</v>
      </c>
      <c r="C265" s="126">
        <v>1</v>
      </c>
      <c r="D265" s="187" t="s">
        <v>322</v>
      </c>
      <c r="E265" s="187"/>
      <c r="F265" s="187"/>
      <c r="G265" s="187"/>
      <c r="H265" s="187"/>
      <c r="I265" s="128"/>
    </row>
    <row r="266" spans="2:13" x14ac:dyDescent="0.2">
      <c r="B266" s="84">
        <f>'12. Materials'!B37</f>
        <v>0</v>
      </c>
      <c r="C266" s="126">
        <v>1</v>
      </c>
      <c r="D266" s="187" t="s">
        <v>323</v>
      </c>
      <c r="E266" s="187"/>
      <c r="F266" s="94"/>
      <c r="G266" s="94"/>
      <c r="H266" s="94"/>
      <c r="I266" s="94"/>
    </row>
    <row r="267" spans="2:13" x14ac:dyDescent="0.2">
      <c r="B267" s="84">
        <f>'12. Materials'!B38</f>
        <v>0</v>
      </c>
      <c r="C267" s="126">
        <v>1</v>
      </c>
      <c r="D267" s="187" t="s">
        <v>324</v>
      </c>
      <c r="E267" s="187"/>
      <c r="F267" s="187"/>
      <c r="G267" s="187"/>
      <c r="H267" s="94"/>
      <c r="I267" s="130"/>
      <c r="J267" s="63"/>
      <c r="K267" s="13"/>
      <c r="L267" s="13"/>
    </row>
    <row r="268" spans="2:13" x14ac:dyDescent="0.2">
      <c r="B268" s="84">
        <f>'12. Materials'!B39</f>
        <v>0</v>
      </c>
      <c r="C268" s="126">
        <v>1</v>
      </c>
      <c r="D268" s="187" t="s">
        <v>325</v>
      </c>
      <c r="E268" s="187"/>
      <c r="F268" s="187"/>
      <c r="G268" s="94"/>
      <c r="H268" s="94"/>
      <c r="I268" s="47"/>
      <c r="J268" s="47"/>
      <c r="K268" s="13"/>
      <c r="L268" s="13"/>
    </row>
    <row r="269" spans="2:13" x14ac:dyDescent="0.2">
      <c r="B269" s="146" t="s">
        <v>326</v>
      </c>
      <c r="C269" s="126"/>
      <c r="D269" s="94"/>
      <c r="E269" s="94"/>
      <c r="F269" s="94"/>
      <c r="G269" s="94"/>
      <c r="H269" s="94"/>
      <c r="I269" s="75"/>
      <c r="J269" s="75"/>
      <c r="K269" s="56"/>
      <c r="L269" s="56"/>
    </row>
    <row r="270" spans="2:13" x14ac:dyDescent="0.2">
      <c r="B270" s="84">
        <f>'12. Materials'!B42</f>
        <v>1</v>
      </c>
      <c r="C270" s="126">
        <v>1</v>
      </c>
      <c r="D270" s="241" t="s">
        <v>487</v>
      </c>
      <c r="E270" s="199"/>
      <c r="F270" s="199"/>
      <c r="G270" s="94"/>
      <c r="H270" s="94"/>
    </row>
    <row r="271" spans="2:13" x14ac:dyDescent="0.2">
      <c r="B271" s="84">
        <f>'12. Materials'!B43</f>
        <v>1</v>
      </c>
      <c r="C271" s="126">
        <v>1</v>
      </c>
      <c r="D271" s="199" t="s">
        <v>327</v>
      </c>
      <c r="E271" s="199"/>
      <c r="F271" s="199"/>
      <c r="G271" s="199"/>
      <c r="H271" s="94"/>
    </row>
    <row r="272" spans="2:13" x14ac:dyDescent="0.2">
      <c r="B272" s="84">
        <f>'12. Materials'!B44</f>
        <v>0</v>
      </c>
      <c r="C272" s="126">
        <v>1</v>
      </c>
      <c r="D272" s="199" t="s">
        <v>328</v>
      </c>
      <c r="E272" s="199"/>
      <c r="F272" s="94"/>
      <c r="G272" s="94"/>
      <c r="H272" s="94"/>
      <c r="I272" s="94"/>
      <c r="J272" s="94"/>
      <c r="K272" s="18"/>
      <c r="L272" s="18"/>
      <c r="M272" s="94"/>
    </row>
    <row r="273" spans="2:13" x14ac:dyDescent="0.2">
      <c r="B273" s="84">
        <f>'12. Materials'!B45</f>
        <v>0</v>
      </c>
      <c r="C273" s="126">
        <v>1</v>
      </c>
      <c r="D273" s="187" t="s">
        <v>329</v>
      </c>
      <c r="E273" s="187"/>
      <c r="F273" s="187"/>
      <c r="G273" s="187"/>
      <c r="H273" s="187"/>
      <c r="I273" s="94"/>
      <c r="J273" s="94"/>
      <c r="K273" s="18"/>
      <c r="L273" s="18"/>
      <c r="M273" s="94"/>
    </row>
    <row r="274" spans="2:13" x14ac:dyDescent="0.2">
      <c r="B274" s="84">
        <f>'12. Materials'!B46</f>
        <v>0</v>
      </c>
      <c r="C274" s="126">
        <v>1</v>
      </c>
      <c r="D274" s="187" t="s">
        <v>330</v>
      </c>
      <c r="E274" s="187"/>
      <c r="F274" s="187"/>
      <c r="G274" s="187"/>
      <c r="H274" s="94"/>
      <c r="I274" s="94"/>
      <c r="J274" s="94"/>
      <c r="K274" s="18"/>
      <c r="L274" s="18"/>
      <c r="M274" s="94"/>
    </row>
    <row r="275" spans="2:13" x14ac:dyDescent="0.2">
      <c r="B275" s="84" t="e">
        <f>'12. Materials'!#REF!</f>
        <v>#REF!</v>
      </c>
      <c r="C275" s="126">
        <v>1</v>
      </c>
      <c r="D275" s="199" t="s">
        <v>331</v>
      </c>
      <c r="E275" s="199"/>
      <c r="F275" s="199"/>
      <c r="G275" s="94"/>
      <c r="H275" s="94"/>
      <c r="I275" s="94"/>
      <c r="J275" s="94"/>
      <c r="K275" s="18"/>
      <c r="L275" s="18"/>
      <c r="M275" s="94"/>
    </row>
    <row r="276" spans="2:13" x14ac:dyDescent="0.2">
      <c r="B276" s="84">
        <f>'12. Materials'!B47</f>
        <v>0</v>
      </c>
      <c r="C276" s="126">
        <v>1</v>
      </c>
      <c r="D276" s="187" t="s">
        <v>332</v>
      </c>
      <c r="E276" s="187"/>
      <c r="F276" s="187"/>
      <c r="G276" s="187"/>
      <c r="H276" s="187"/>
      <c r="I276" s="94"/>
      <c r="J276" s="94"/>
      <c r="K276" s="18"/>
      <c r="L276" s="18"/>
      <c r="M276" s="94"/>
    </row>
    <row r="277" spans="2:13" x14ac:dyDescent="0.2">
      <c r="B277" s="86">
        <f>'12. Materials'!B49</f>
        <v>1</v>
      </c>
      <c r="C277" s="126">
        <v>1</v>
      </c>
      <c r="D277" s="240" t="s">
        <v>455</v>
      </c>
      <c r="E277" s="187"/>
      <c r="F277" s="187"/>
      <c r="G277" s="187"/>
      <c r="H277" s="187"/>
      <c r="I277" s="94"/>
      <c r="J277" s="94"/>
      <c r="K277" s="18"/>
      <c r="L277" s="18"/>
      <c r="M277" s="94"/>
    </row>
    <row r="278" spans="2:13" x14ac:dyDescent="0.2">
      <c r="B278" s="84">
        <f>'12. Materials'!B50</f>
        <v>0</v>
      </c>
      <c r="C278" s="126">
        <v>2</v>
      </c>
      <c r="D278" s="199" t="s">
        <v>333</v>
      </c>
      <c r="E278" s="199"/>
      <c r="F278" s="199"/>
      <c r="G278" s="199"/>
      <c r="H278" s="199"/>
      <c r="I278" s="94"/>
      <c r="J278" s="94"/>
      <c r="K278" s="18"/>
      <c r="L278" s="18"/>
      <c r="M278" s="94"/>
    </row>
    <row r="279" spans="2:13" x14ac:dyDescent="0.2">
      <c r="B279" s="87">
        <f>'12. Materials'!B51</f>
        <v>1</v>
      </c>
      <c r="C279" s="126">
        <v>1</v>
      </c>
      <c r="D279" s="187" t="s">
        <v>334</v>
      </c>
      <c r="E279" s="187"/>
      <c r="F279" s="187"/>
      <c r="G279" s="187"/>
      <c r="H279" s="187"/>
      <c r="I279" s="94"/>
      <c r="J279" s="94"/>
      <c r="K279" s="18"/>
      <c r="L279" s="18"/>
      <c r="M279" s="94"/>
    </row>
    <row r="280" spans="2:13" x14ac:dyDescent="0.2">
      <c r="B280" s="84" t="e">
        <f>'12. Materials'!#REF!</f>
        <v>#REF!</v>
      </c>
      <c r="C280" s="126">
        <v>1</v>
      </c>
      <c r="D280" s="240" t="s">
        <v>489</v>
      </c>
      <c r="E280" s="187"/>
      <c r="F280" s="187"/>
      <c r="G280" s="187"/>
      <c r="H280" s="187"/>
      <c r="I280" s="94"/>
      <c r="J280" s="94"/>
      <c r="K280" s="18"/>
      <c r="L280" s="18"/>
      <c r="M280" s="94"/>
    </row>
    <row r="281" spans="2:13" x14ac:dyDescent="0.2">
      <c r="B281" s="84">
        <f>'12. Materials'!B52</f>
        <v>0</v>
      </c>
      <c r="C281" s="126">
        <v>1</v>
      </c>
      <c r="D281" s="187" t="s">
        <v>335</v>
      </c>
      <c r="E281" s="187"/>
      <c r="F281" s="187"/>
      <c r="G281" s="187"/>
      <c r="H281" s="187"/>
      <c r="I281" s="94"/>
      <c r="J281" s="94"/>
      <c r="K281" s="18"/>
      <c r="L281" s="18"/>
      <c r="M281" s="94"/>
    </row>
    <row r="282" spans="2:13" x14ac:dyDescent="0.2">
      <c r="B282" s="87">
        <f>'12. Materials'!B53</f>
        <v>8</v>
      </c>
      <c r="C282" s="126">
        <v>48</v>
      </c>
      <c r="D282" s="204" t="s">
        <v>111</v>
      </c>
      <c r="E282" s="204"/>
      <c r="F282" s="94"/>
      <c r="G282" s="94"/>
      <c r="H282" s="94"/>
      <c r="I282" s="94"/>
      <c r="J282" s="94"/>
      <c r="K282" s="18"/>
      <c r="L282" s="18"/>
      <c r="M282" s="94"/>
    </row>
    <row r="283" spans="2:13" ht="6" customHeight="1" x14ac:dyDescent="0.2">
      <c r="B283" s="94"/>
      <c r="C283" s="126"/>
      <c r="D283" s="94"/>
      <c r="E283" s="94"/>
      <c r="F283" s="94"/>
      <c r="G283" s="94"/>
      <c r="H283" s="94"/>
      <c r="I283" s="150"/>
      <c r="J283" s="150"/>
      <c r="K283" s="150"/>
      <c r="L283" s="150"/>
      <c r="M283" s="150"/>
    </row>
    <row r="284" spans="2:13" x14ac:dyDescent="0.2">
      <c r="B284" s="84">
        <f>'12. Materials'!B55</f>
        <v>8</v>
      </c>
      <c r="C284" s="147" t="s">
        <v>336</v>
      </c>
      <c r="D284" s="148"/>
      <c r="E284" s="148"/>
      <c r="F284" s="148"/>
      <c r="G284" s="128"/>
      <c r="H284" s="128"/>
      <c r="I284" s="150"/>
      <c r="J284" s="150"/>
      <c r="K284" s="150"/>
      <c r="L284" s="150"/>
      <c r="M284" s="150"/>
    </row>
    <row r="285" spans="2:13" ht="9.75" customHeight="1" x14ac:dyDescent="0.2">
      <c r="B285" s="94"/>
      <c r="C285" s="94"/>
      <c r="D285" s="94"/>
      <c r="E285" s="94"/>
      <c r="F285" s="94"/>
      <c r="G285" s="94"/>
      <c r="H285" s="94"/>
      <c r="I285" s="151"/>
      <c r="J285" s="151"/>
      <c r="K285" s="25"/>
      <c r="L285" s="25"/>
      <c r="M285" s="206"/>
    </row>
    <row r="286" spans="2:13" x14ac:dyDescent="0.2">
      <c r="B286" s="1368" t="s">
        <v>337</v>
      </c>
      <c r="C286" s="1368"/>
      <c r="D286" s="1368"/>
      <c r="E286" s="191">
        <f>'12. Materials'!E57</f>
        <v>0</v>
      </c>
      <c r="F286" s="191"/>
      <c r="G286" s="191"/>
      <c r="H286" s="191"/>
      <c r="I286" s="150"/>
      <c r="J286" s="94"/>
      <c r="K286" s="18"/>
      <c r="L286" s="18"/>
      <c r="M286" s="94"/>
    </row>
    <row r="287" spans="2:13" x14ac:dyDescent="0.2">
      <c r="B287" s="227"/>
      <c r="C287" s="227"/>
      <c r="D287" s="227"/>
      <c r="E287" s="227"/>
      <c r="F287" s="227"/>
      <c r="G287" s="227"/>
      <c r="H287" s="227"/>
      <c r="I287" s="153"/>
      <c r="J287" s="153"/>
      <c r="K287" s="153"/>
      <c r="L287" s="153"/>
      <c r="M287" s="303"/>
    </row>
    <row r="288" spans="2:13" ht="16" x14ac:dyDescent="0.2">
      <c r="B288" s="53" t="s">
        <v>751</v>
      </c>
      <c r="C288" s="54"/>
      <c r="D288" s="56"/>
      <c r="E288" s="56"/>
      <c r="F288" s="56"/>
      <c r="G288" s="64"/>
      <c r="H288" s="75"/>
      <c r="I288" s="154"/>
      <c r="J288" s="154"/>
      <c r="K288" s="154"/>
      <c r="L288" s="154"/>
      <c r="M288" s="304"/>
    </row>
    <row r="289" spans="2:13" ht="16" x14ac:dyDescent="0.2">
      <c r="B289" s="1366" t="s">
        <v>222</v>
      </c>
      <c r="C289" s="1366"/>
      <c r="D289" s="1366"/>
      <c r="E289" s="1366"/>
      <c r="F289" s="1366"/>
      <c r="G289" s="1366"/>
      <c r="I289" s="154"/>
      <c r="J289" s="154"/>
      <c r="K289" s="154"/>
      <c r="L289" s="154"/>
      <c r="M289" s="94"/>
    </row>
    <row r="290" spans="2:13" x14ac:dyDescent="0.2">
      <c r="B290" s="73"/>
      <c r="C290" s="73"/>
      <c r="D290" s="74"/>
      <c r="E290" s="74"/>
      <c r="I290" s="94"/>
      <c r="J290" s="94"/>
      <c r="K290" s="18"/>
      <c r="L290" s="18"/>
      <c r="M290" s="94"/>
    </row>
    <row r="291" spans="2:13" x14ac:dyDescent="0.2">
      <c r="B291" s="32" t="s">
        <v>342</v>
      </c>
      <c r="C291" s="137"/>
      <c r="D291" s="137"/>
      <c r="E291" s="137"/>
      <c r="F291" s="94"/>
      <c r="G291" s="94"/>
      <c r="H291" s="94"/>
      <c r="I291" s="150"/>
      <c r="J291" s="94"/>
      <c r="K291" s="18"/>
      <c r="L291" s="18"/>
      <c r="M291" s="94"/>
    </row>
    <row r="292" spans="2:13" x14ac:dyDescent="0.2">
      <c r="B292" s="84">
        <f>'13. Disaster Mitigation'!B5</f>
        <v>0</v>
      </c>
      <c r="C292" s="126">
        <v>3</v>
      </c>
      <c r="D292" s="1362" t="s">
        <v>343</v>
      </c>
      <c r="E292" s="1362"/>
      <c r="F292" s="94"/>
      <c r="G292" s="94"/>
      <c r="H292" s="94"/>
      <c r="I292" s="94"/>
      <c r="J292" s="94"/>
      <c r="K292" s="18"/>
      <c r="L292" s="18"/>
      <c r="M292" s="94"/>
    </row>
    <row r="293" spans="2:13" x14ac:dyDescent="0.2">
      <c r="B293" s="84">
        <f>'13. Disaster Mitigation'!B6</f>
        <v>0</v>
      </c>
      <c r="C293" s="126">
        <v>2</v>
      </c>
      <c r="D293" s="1362" t="s">
        <v>436</v>
      </c>
      <c r="E293" s="1362"/>
      <c r="F293" s="1362"/>
      <c r="G293" s="1362"/>
      <c r="H293" s="94"/>
      <c r="I293" s="29"/>
      <c r="J293" s="29"/>
      <c r="K293" s="29"/>
      <c r="L293" s="18"/>
      <c r="M293" s="94"/>
    </row>
    <row r="294" spans="2:13" x14ac:dyDescent="0.2">
      <c r="B294" s="84">
        <f>'13. Disaster Mitigation'!B7</f>
        <v>2</v>
      </c>
      <c r="C294" s="126">
        <v>2</v>
      </c>
      <c r="D294" s="1375" t="s">
        <v>457</v>
      </c>
      <c r="E294" s="1375"/>
      <c r="F294" s="1375"/>
      <c r="G294" s="1375"/>
      <c r="H294" s="1375"/>
      <c r="I294" s="137"/>
      <c r="J294" s="94"/>
      <c r="K294" s="18"/>
      <c r="L294" s="18"/>
      <c r="M294" s="94"/>
    </row>
    <row r="295" spans="2:13" x14ac:dyDescent="0.2">
      <c r="B295" s="84">
        <f>'13. Disaster Mitigation'!B8</f>
        <v>0</v>
      </c>
      <c r="C295" s="126">
        <v>1</v>
      </c>
      <c r="D295" s="1375" t="s">
        <v>490</v>
      </c>
      <c r="E295" s="1375"/>
      <c r="F295" s="1375"/>
      <c r="G295" s="1375"/>
      <c r="H295" s="1375"/>
      <c r="I295" s="94"/>
      <c r="J295" s="94"/>
      <c r="K295" s="18"/>
      <c r="L295" s="18"/>
      <c r="M295" s="94"/>
    </row>
    <row r="296" spans="2:13" x14ac:dyDescent="0.2">
      <c r="B296" s="84">
        <f>'13. Disaster Mitigation'!B9</f>
        <v>1</v>
      </c>
      <c r="C296" s="126">
        <v>2</v>
      </c>
      <c r="D296" s="1362" t="s">
        <v>344</v>
      </c>
      <c r="E296" s="1362"/>
      <c r="F296" s="1362"/>
      <c r="G296" s="1362"/>
      <c r="H296" s="94"/>
      <c r="I296" s="94"/>
      <c r="J296" s="94"/>
      <c r="K296" s="18"/>
      <c r="L296" s="18"/>
      <c r="M296" s="94"/>
    </row>
    <row r="297" spans="2:13" x14ac:dyDescent="0.2">
      <c r="B297" s="84">
        <f>'13. Disaster Mitigation'!B10</f>
        <v>0</v>
      </c>
      <c r="C297" s="126">
        <v>2</v>
      </c>
      <c r="D297" s="1362" t="s">
        <v>345</v>
      </c>
      <c r="E297" s="1362"/>
      <c r="F297" s="1362"/>
      <c r="G297" s="1362"/>
      <c r="H297" s="1362"/>
      <c r="I297" s="94"/>
      <c r="J297" s="94"/>
      <c r="K297" s="18"/>
      <c r="L297" s="18"/>
      <c r="M297" s="94"/>
    </row>
    <row r="298" spans="2:13" x14ac:dyDescent="0.2">
      <c r="B298" s="84">
        <f>'13. Disaster Mitigation'!B11</f>
        <v>0</v>
      </c>
      <c r="C298" s="126">
        <v>2</v>
      </c>
      <c r="D298" s="1362" t="s">
        <v>346</v>
      </c>
      <c r="E298" s="1362"/>
      <c r="F298" s="1362"/>
      <c r="G298" s="1362"/>
      <c r="H298" s="94"/>
      <c r="I298" s="94"/>
      <c r="J298" s="94"/>
      <c r="K298" s="18"/>
      <c r="L298" s="18"/>
      <c r="M298" s="94"/>
    </row>
    <row r="299" spans="2:13" x14ac:dyDescent="0.2">
      <c r="B299" s="84" t="e">
        <f>'13. Disaster Mitigation'!#REF!</f>
        <v>#REF!</v>
      </c>
      <c r="C299" s="126">
        <v>2</v>
      </c>
      <c r="D299" s="1362" t="s">
        <v>347</v>
      </c>
      <c r="E299" s="1362"/>
      <c r="F299" s="1362"/>
      <c r="G299" s="1362"/>
      <c r="H299" s="1362"/>
      <c r="I299" s="94"/>
      <c r="J299" s="94"/>
      <c r="K299" s="18"/>
      <c r="L299" s="18"/>
      <c r="M299" s="94"/>
    </row>
    <row r="300" spans="2:13" x14ac:dyDescent="0.2">
      <c r="B300" s="84">
        <f>'13. Disaster Mitigation'!B14</f>
        <v>0</v>
      </c>
      <c r="C300" s="126">
        <v>5</v>
      </c>
      <c r="D300" s="1355" t="s">
        <v>348</v>
      </c>
      <c r="E300" s="1355"/>
      <c r="F300" s="1355"/>
      <c r="G300" s="1355"/>
      <c r="H300" s="1355"/>
      <c r="I300" s="150"/>
      <c r="J300" s="94"/>
      <c r="K300" s="18"/>
      <c r="L300" s="18"/>
      <c r="M300" s="94"/>
    </row>
    <row r="301" spans="2:13" x14ac:dyDescent="0.2">
      <c r="B301" s="1379" t="s">
        <v>394</v>
      </c>
      <c r="C301" s="1379"/>
      <c r="D301" s="1379"/>
      <c r="E301" s="1379"/>
      <c r="F301" s="136"/>
      <c r="G301" s="136"/>
      <c r="H301" s="136"/>
      <c r="I301" s="150"/>
      <c r="J301" s="94"/>
      <c r="K301" s="18"/>
      <c r="L301" s="18"/>
      <c r="M301" s="94"/>
    </row>
    <row r="302" spans="2:13" x14ac:dyDescent="0.2">
      <c r="B302" s="84">
        <f>'13. Disaster Mitigation'!B17</f>
        <v>0</v>
      </c>
      <c r="C302" s="126">
        <v>3</v>
      </c>
      <c r="D302" s="84">
        <f>'13. Disaster Mitigation'!D17</f>
        <v>0</v>
      </c>
      <c r="E302" s="149" t="s">
        <v>349</v>
      </c>
      <c r="F302" s="150"/>
      <c r="G302" s="150"/>
      <c r="H302" s="150"/>
      <c r="I302" s="150"/>
      <c r="J302" s="150"/>
      <c r="K302" s="18"/>
      <c r="L302" s="18"/>
      <c r="M302" s="94"/>
    </row>
    <row r="303" spans="2:13" x14ac:dyDescent="0.2">
      <c r="B303" s="94"/>
      <c r="C303" s="126"/>
      <c r="D303" s="86">
        <f>'13. Disaster Mitigation'!D18</f>
        <v>0</v>
      </c>
      <c r="E303" s="149" t="s">
        <v>396</v>
      </c>
      <c r="F303" s="150"/>
      <c r="G303" s="150"/>
      <c r="H303" s="150"/>
      <c r="I303" s="150"/>
      <c r="J303" s="150"/>
      <c r="K303" s="150"/>
      <c r="L303" s="150"/>
      <c r="M303" s="150"/>
    </row>
    <row r="304" spans="2:13" x14ac:dyDescent="0.2">
      <c r="B304" s="94"/>
      <c r="C304" s="126"/>
      <c r="D304" s="142"/>
      <c r="E304" s="206" t="s">
        <v>397</v>
      </c>
      <c r="F304" s="206"/>
      <c r="G304" s="206"/>
      <c r="H304" s="206"/>
      <c r="I304" s="151"/>
      <c r="J304" s="151"/>
      <c r="K304" s="25"/>
      <c r="L304" s="25"/>
      <c r="M304" s="206"/>
    </row>
    <row r="305" spans="2:13" x14ac:dyDescent="0.2">
      <c r="B305" s="94"/>
      <c r="C305" s="126"/>
      <c r="D305" s="87">
        <f>'13. Disaster Mitigation'!D19</f>
        <v>0</v>
      </c>
      <c r="E305" s="149" t="s">
        <v>351</v>
      </c>
      <c r="F305" s="150"/>
      <c r="G305" s="150"/>
      <c r="H305" s="150"/>
      <c r="I305" s="150"/>
      <c r="J305" s="94"/>
      <c r="K305" s="18"/>
      <c r="L305" s="18"/>
      <c r="M305" s="94"/>
    </row>
    <row r="306" spans="2:13" x14ac:dyDescent="0.2">
      <c r="B306" s="94"/>
      <c r="C306" s="126"/>
      <c r="D306" s="85" t="e">
        <f>'13. Disaster Mitigation'!#REF!</f>
        <v>#REF!</v>
      </c>
      <c r="E306" s="152" t="s">
        <v>398</v>
      </c>
      <c r="F306" s="153"/>
      <c r="G306" s="153"/>
      <c r="H306" s="153"/>
      <c r="I306" s="150"/>
      <c r="J306" s="150"/>
      <c r="K306" s="150"/>
      <c r="L306" s="150"/>
      <c r="M306" s="94"/>
    </row>
    <row r="307" spans="2:13" x14ac:dyDescent="0.2">
      <c r="B307" s="94"/>
      <c r="C307" s="126"/>
      <c r="D307" s="93"/>
      <c r="E307" s="154" t="s">
        <v>399</v>
      </c>
      <c r="F307" s="154"/>
      <c r="G307" s="154"/>
      <c r="H307" s="154"/>
      <c r="I307" s="94"/>
      <c r="J307" s="94"/>
      <c r="K307" s="18"/>
      <c r="L307" s="18"/>
      <c r="M307" s="94"/>
    </row>
    <row r="308" spans="2:13" x14ac:dyDescent="0.2">
      <c r="B308" s="205" t="s">
        <v>395</v>
      </c>
      <c r="C308" s="205"/>
      <c r="D308" s="205"/>
      <c r="E308" s="205"/>
      <c r="F308" s="154"/>
      <c r="G308" s="154"/>
      <c r="H308" s="154"/>
      <c r="I308" s="94"/>
      <c r="J308" s="94"/>
      <c r="K308" s="18"/>
      <c r="L308" s="18"/>
      <c r="M308" s="94"/>
    </row>
    <row r="309" spans="2:13" x14ac:dyDescent="0.2">
      <c r="B309" s="84">
        <f>'13. Disaster Mitigation'!B22</f>
        <v>0</v>
      </c>
      <c r="C309" s="126">
        <v>3</v>
      </c>
      <c r="D309" s="84">
        <f>'13. Disaster Mitigation'!D22</f>
        <v>0</v>
      </c>
      <c r="E309" s="225" t="s">
        <v>352</v>
      </c>
      <c r="F309" s="206"/>
      <c r="G309" s="206"/>
      <c r="H309" s="206"/>
      <c r="I309" s="156"/>
      <c r="J309" s="156"/>
      <c r="K309" s="139"/>
      <c r="L309" s="139"/>
      <c r="M309" s="94"/>
    </row>
    <row r="310" spans="2:13" x14ac:dyDescent="0.2">
      <c r="B310" s="94"/>
      <c r="C310" s="126"/>
      <c r="D310" s="84">
        <f>'13. Disaster Mitigation'!D23</f>
        <v>0</v>
      </c>
      <c r="E310" s="149" t="s">
        <v>353</v>
      </c>
      <c r="F310" s="150"/>
      <c r="G310" s="150"/>
      <c r="H310" s="150"/>
      <c r="I310" s="156"/>
      <c r="J310" s="156"/>
      <c r="K310" s="139"/>
      <c r="L310" s="139"/>
      <c r="M310" s="94"/>
    </row>
    <row r="311" spans="2:13" x14ac:dyDescent="0.2">
      <c r="B311" s="94"/>
      <c r="C311" s="126"/>
      <c r="D311" s="84">
        <f>'13. Disaster Mitigation'!D24</f>
        <v>0</v>
      </c>
      <c r="E311" s="225" t="s">
        <v>354</v>
      </c>
      <c r="F311" s="206"/>
      <c r="G311" s="206"/>
      <c r="H311" s="206"/>
      <c r="I311" s="159"/>
      <c r="J311" s="159"/>
      <c r="K311" s="159"/>
      <c r="L311" s="159"/>
      <c r="M311" s="94"/>
    </row>
    <row r="312" spans="2:13" x14ac:dyDescent="0.2">
      <c r="B312" s="29" t="s">
        <v>752</v>
      </c>
      <c r="C312" s="29"/>
      <c r="D312" s="29"/>
      <c r="E312" s="29"/>
      <c r="F312" s="29"/>
      <c r="G312" s="29"/>
      <c r="H312" s="29"/>
      <c r="I312" s="155"/>
      <c r="J312" s="155"/>
      <c r="K312" s="154"/>
      <c r="L312" s="154"/>
      <c r="M312" s="94"/>
    </row>
    <row r="313" spans="2:13" x14ac:dyDescent="0.2">
      <c r="B313" s="85">
        <f>'13. Disaster Mitigation'!B34</f>
        <v>0</v>
      </c>
      <c r="C313" s="126">
        <v>10</v>
      </c>
      <c r="D313" s="235" t="s">
        <v>458</v>
      </c>
      <c r="E313" s="189"/>
      <c r="F313" s="189"/>
      <c r="G313" s="189"/>
      <c r="H313" s="189"/>
      <c r="I313" s="160"/>
      <c r="J313" s="160"/>
      <c r="K313" s="160"/>
      <c r="L313" s="160"/>
      <c r="M313" s="150"/>
    </row>
    <row r="314" spans="2:13" x14ac:dyDescent="0.2">
      <c r="B314" s="94"/>
      <c r="C314" s="126"/>
      <c r="D314" s="84" t="e">
        <f>'13. Disaster Mitigation'!#REF!</f>
        <v>#REF!</v>
      </c>
      <c r="E314" s="206" t="s">
        <v>355</v>
      </c>
      <c r="F314" s="206"/>
      <c r="G314" s="206"/>
      <c r="H314" s="94"/>
      <c r="I314" s="161"/>
      <c r="J314" s="161"/>
      <c r="K314" s="25"/>
      <c r="L314" s="25"/>
      <c r="M314" s="206"/>
    </row>
    <row r="315" spans="2:13" x14ac:dyDescent="0.2">
      <c r="B315" s="94"/>
      <c r="C315" s="126"/>
      <c r="D315" s="84" t="e">
        <f>'13. Disaster Mitigation'!#REF!</f>
        <v>#REF!</v>
      </c>
      <c r="E315" s="206" t="s">
        <v>356</v>
      </c>
      <c r="F315" s="206"/>
      <c r="G315" s="206"/>
      <c r="H315" s="206"/>
      <c r="I315" s="94"/>
      <c r="J315" s="94"/>
      <c r="K315" s="18"/>
      <c r="L315" s="18"/>
      <c r="M315" s="94"/>
    </row>
    <row r="316" spans="2:13" x14ac:dyDescent="0.2">
      <c r="B316" s="94"/>
      <c r="C316" s="126"/>
      <c r="D316" s="84" t="e">
        <f>'13. Disaster Mitigation'!#REF!</f>
        <v>#REF!</v>
      </c>
      <c r="E316" s="206" t="s">
        <v>357</v>
      </c>
      <c r="F316" s="206"/>
      <c r="G316" s="206"/>
      <c r="H316" s="206"/>
      <c r="I316" s="94"/>
      <c r="J316" s="94"/>
      <c r="K316" s="18"/>
      <c r="L316" s="18"/>
      <c r="M316" s="94"/>
    </row>
    <row r="317" spans="2:13" x14ac:dyDescent="0.2">
      <c r="B317" s="94"/>
      <c r="C317" s="126"/>
      <c r="D317" s="84">
        <f>'13. Disaster Mitigation'!D35</f>
        <v>0</v>
      </c>
      <c r="E317" s="149" t="s">
        <v>358</v>
      </c>
      <c r="F317" s="150"/>
      <c r="G317" s="150"/>
      <c r="H317" s="150"/>
      <c r="I317" s="140"/>
      <c r="J317" s="129"/>
      <c r="K317" s="18"/>
      <c r="L317" s="18"/>
      <c r="M317" s="94"/>
    </row>
    <row r="318" spans="2:13" x14ac:dyDescent="0.2">
      <c r="B318" s="94"/>
      <c r="C318" s="126"/>
      <c r="D318" s="84">
        <f>'13. Disaster Mitigation'!D36</f>
        <v>0</v>
      </c>
      <c r="E318" s="243" t="s">
        <v>491</v>
      </c>
      <c r="F318" s="150"/>
      <c r="G318" s="150"/>
      <c r="H318" s="150"/>
      <c r="I318" s="129"/>
      <c r="J318" s="129"/>
      <c r="K318" s="18"/>
      <c r="L318" s="18"/>
      <c r="M318" s="94"/>
    </row>
    <row r="319" spans="2:13" x14ac:dyDescent="0.2">
      <c r="B319" s="94"/>
      <c r="C319" s="126"/>
      <c r="D319" s="84" t="e">
        <f>'13. Disaster Mitigation'!#REF!</f>
        <v>#REF!</v>
      </c>
      <c r="E319" s="149" t="s">
        <v>359</v>
      </c>
      <c r="F319" s="150"/>
      <c r="G319" s="150"/>
      <c r="H319" s="150"/>
      <c r="I319" s="130"/>
      <c r="J319" s="130"/>
      <c r="K319" s="18"/>
      <c r="L319" s="18"/>
      <c r="M319" s="94"/>
    </row>
    <row r="320" spans="2:13" x14ac:dyDescent="0.2">
      <c r="B320" s="94"/>
      <c r="C320" s="126"/>
      <c r="D320" s="86">
        <f>'13. Disaster Mitigation'!D37</f>
        <v>0</v>
      </c>
      <c r="E320" s="149" t="s">
        <v>400</v>
      </c>
      <c r="F320" s="150"/>
      <c r="G320" s="150"/>
      <c r="H320" s="150"/>
      <c r="I320" s="47"/>
      <c r="J320" s="47"/>
    </row>
    <row r="321" spans="2:17" x14ac:dyDescent="0.2">
      <c r="B321" s="94"/>
      <c r="C321" s="126"/>
      <c r="D321" s="142"/>
      <c r="E321" s="224" t="s">
        <v>401</v>
      </c>
      <c r="F321" s="206"/>
      <c r="G321" s="206"/>
      <c r="H321" s="206"/>
      <c r="I321" s="47"/>
      <c r="J321" s="47"/>
    </row>
    <row r="322" spans="2:17" x14ac:dyDescent="0.2">
      <c r="B322" s="94"/>
      <c r="C322" s="126"/>
      <c r="D322" s="87">
        <f>'13. Disaster Mitigation'!D38</f>
        <v>0</v>
      </c>
      <c r="E322" s="149" t="s">
        <v>360</v>
      </c>
      <c r="F322" s="150"/>
      <c r="G322" s="150"/>
      <c r="H322" s="150"/>
      <c r="I322" s="141"/>
      <c r="J322" s="141"/>
      <c r="K322" s="91"/>
      <c r="L322" s="91"/>
    </row>
    <row r="323" spans="2:17" x14ac:dyDescent="0.2">
      <c r="B323" s="94"/>
      <c r="C323" s="126"/>
      <c r="D323" s="84">
        <f>'13. Disaster Mitigation'!D39</f>
        <v>0</v>
      </c>
      <c r="E323" s="149" t="s">
        <v>361</v>
      </c>
      <c r="F323" s="150"/>
      <c r="G323" s="150"/>
      <c r="H323" s="150"/>
      <c r="I323" s="94"/>
      <c r="J323" s="94"/>
      <c r="K323" s="18"/>
      <c r="L323" s="18"/>
    </row>
    <row r="324" spans="2:17" x14ac:dyDescent="0.2">
      <c r="B324" s="94"/>
      <c r="C324" s="126"/>
      <c r="D324" s="59"/>
      <c r="E324" s="150"/>
      <c r="F324" s="150"/>
      <c r="G324" s="150"/>
      <c r="H324" s="150"/>
      <c r="I324" s="94"/>
      <c r="J324" s="94"/>
      <c r="K324" s="18"/>
      <c r="L324" s="18"/>
    </row>
    <row r="325" spans="2:17" x14ac:dyDescent="0.2">
      <c r="B325" s="94"/>
      <c r="C325" s="126"/>
      <c r="D325" s="272" t="s">
        <v>459</v>
      </c>
      <c r="E325" s="189"/>
      <c r="F325" s="94"/>
      <c r="G325" s="94"/>
      <c r="H325" s="94"/>
      <c r="I325" s="94"/>
      <c r="J325" s="94"/>
      <c r="K325" s="18"/>
      <c r="L325" s="18"/>
    </row>
    <row r="326" spans="2:17" x14ac:dyDescent="0.2">
      <c r="B326" s="94"/>
      <c r="C326" s="126"/>
      <c r="D326" s="86">
        <f>'13. Disaster Mitigation'!D42</f>
        <v>0</v>
      </c>
      <c r="E326" s="155" t="s">
        <v>362</v>
      </c>
      <c r="F326" s="155"/>
      <c r="G326" s="155"/>
      <c r="H326" s="156"/>
      <c r="I326" s="125"/>
      <c r="J326" s="94"/>
      <c r="K326" s="18"/>
      <c r="L326" s="18"/>
    </row>
    <row r="327" spans="2:17" x14ac:dyDescent="0.2">
      <c r="B327" s="94"/>
      <c r="C327" s="157" t="s">
        <v>460</v>
      </c>
      <c r="D327" s="84">
        <f>'13. Disaster Mitigation'!D43</f>
        <v>0</v>
      </c>
      <c r="E327" s="1359" t="s">
        <v>461</v>
      </c>
      <c r="F327" s="1359"/>
      <c r="G327" s="1359"/>
      <c r="H327" s="1359"/>
      <c r="I327" s="94"/>
      <c r="J327" s="94"/>
      <c r="K327" s="18"/>
      <c r="L327" s="18"/>
    </row>
    <row r="328" spans="2:17" x14ac:dyDescent="0.2">
      <c r="B328" s="94"/>
      <c r="C328" s="157"/>
      <c r="D328" s="59"/>
      <c r="E328" s="1359"/>
      <c r="F328" s="1359"/>
      <c r="G328" s="1359"/>
      <c r="H328" s="1359"/>
      <c r="I328" s="94"/>
      <c r="J328" s="94"/>
      <c r="K328" s="18"/>
      <c r="L328" s="18"/>
    </row>
    <row r="329" spans="2:17" x14ac:dyDescent="0.2">
      <c r="B329" s="94"/>
      <c r="C329" s="157" t="s">
        <v>365</v>
      </c>
      <c r="D329" s="84" t="e">
        <f>'13. Disaster Mitigation'!#REF!</f>
        <v>#REF!</v>
      </c>
      <c r="E329" s="158" t="s">
        <v>402</v>
      </c>
      <c r="F329" s="160"/>
      <c r="G329" s="160"/>
      <c r="H329" s="160"/>
      <c r="I329" s="94"/>
      <c r="J329" s="94"/>
      <c r="K329" s="18"/>
      <c r="L329" s="18"/>
    </row>
    <row r="330" spans="2:17" x14ac:dyDescent="0.2">
      <c r="B330" s="94"/>
      <c r="C330" s="157"/>
      <c r="D330" s="59"/>
      <c r="E330" s="207" t="s">
        <v>403</v>
      </c>
      <c r="F330" s="207"/>
      <c r="G330" s="207"/>
      <c r="H330" s="207"/>
      <c r="I330" s="94"/>
      <c r="J330" s="94"/>
      <c r="K330" s="18"/>
      <c r="L330" s="18"/>
    </row>
    <row r="331" spans="2:17" x14ac:dyDescent="0.2">
      <c r="B331" s="84">
        <f>'13. Disaster Mitigation'!B56</f>
        <v>5</v>
      </c>
      <c r="C331" s="126">
        <v>37</v>
      </c>
      <c r="D331" s="204" t="s">
        <v>111</v>
      </c>
      <c r="E331" s="204"/>
      <c r="F331" s="94"/>
      <c r="G331" s="94"/>
      <c r="H331" s="94"/>
      <c r="I331" s="94"/>
      <c r="J331" s="94"/>
      <c r="K331" s="18"/>
      <c r="L331" s="18"/>
    </row>
    <row r="332" spans="2:17" x14ac:dyDescent="0.2">
      <c r="B332" s="94"/>
      <c r="C332" s="126"/>
      <c r="D332" s="94"/>
      <c r="E332" s="94"/>
      <c r="F332" s="94"/>
      <c r="G332" s="94"/>
      <c r="H332" s="94"/>
      <c r="I332" s="94"/>
      <c r="J332" s="94"/>
      <c r="K332" s="18"/>
      <c r="L332" s="18"/>
    </row>
    <row r="333" spans="2:17" x14ac:dyDescent="0.2">
      <c r="B333" s="84">
        <f>'13. Disaster Mitigation'!B58</f>
        <v>5</v>
      </c>
      <c r="C333" s="202" t="s">
        <v>363</v>
      </c>
      <c r="D333" s="203"/>
      <c r="E333" s="203"/>
      <c r="F333" s="203"/>
      <c r="G333" s="203"/>
      <c r="H333" s="128"/>
      <c r="I333" s="94"/>
      <c r="J333" s="94"/>
      <c r="K333" s="18"/>
      <c r="L333" s="18"/>
    </row>
    <row r="334" spans="2:17" x14ac:dyDescent="0.2">
      <c r="B334" s="94"/>
      <c r="C334" s="94"/>
      <c r="D334" s="94"/>
      <c r="E334" s="94"/>
      <c r="F334" s="94"/>
      <c r="G334" s="94"/>
      <c r="H334" s="94"/>
      <c r="I334" s="94"/>
      <c r="J334" s="94"/>
      <c r="K334" s="18"/>
      <c r="L334" s="18"/>
    </row>
    <row r="335" spans="2:17" x14ac:dyDescent="0.2">
      <c r="B335" s="1358" t="s">
        <v>364</v>
      </c>
      <c r="C335" s="1358"/>
      <c r="D335" s="1358"/>
      <c r="E335" s="191">
        <f>'13. Disaster Mitigation'!E60:G60</f>
        <v>0</v>
      </c>
      <c r="F335" s="191"/>
      <c r="G335" s="191"/>
      <c r="H335" s="191"/>
      <c r="I335" s="94"/>
      <c r="J335" s="94"/>
      <c r="K335" s="18"/>
      <c r="L335" s="18"/>
    </row>
    <row r="336" spans="2:17" s="65" customFormat="1" x14ac:dyDescent="0.2">
      <c r="B336" s="1357"/>
      <c r="C336" s="1357"/>
      <c r="D336" s="1357"/>
      <c r="E336" s="1357"/>
      <c r="F336" s="1357"/>
      <c r="G336" s="1357"/>
      <c r="H336" s="1357"/>
      <c r="I336" s="97"/>
      <c r="J336" s="97"/>
      <c r="K336" s="19"/>
      <c r="L336" s="19"/>
      <c r="M336" s="299"/>
      <c r="N336" s="226"/>
      <c r="O336" s="226"/>
      <c r="P336" s="226"/>
      <c r="Q336" s="226"/>
    </row>
    <row r="337" spans="2:12" ht="16" x14ac:dyDescent="0.2">
      <c r="B337" s="88" t="s">
        <v>391</v>
      </c>
      <c r="C337" s="89"/>
      <c r="D337" s="91"/>
      <c r="E337" s="91"/>
      <c r="F337" s="91"/>
      <c r="G337" s="92"/>
      <c r="H337" s="141"/>
      <c r="I337" s="94"/>
      <c r="J337" s="94"/>
      <c r="K337" s="18"/>
      <c r="L337" s="18"/>
    </row>
    <row r="338" spans="2:12" ht="16" x14ac:dyDescent="0.2">
      <c r="B338" s="1360" t="s">
        <v>392</v>
      </c>
      <c r="C338" s="1360"/>
      <c r="D338" s="1360"/>
      <c r="E338" s="1360"/>
      <c r="F338" s="1360"/>
      <c r="G338" s="1360"/>
      <c r="H338" s="94"/>
      <c r="I338" s="125"/>
      <c r="J338" s="125"/>
      <c r="K338" s="125"/>
      <c r="L338" s="18"/>
    </row>
    <row r="339" spans="2:12" x14ac:dyDescent="0.2">
      <c r="B339" s="162"/>
      <c r="C339" s="162"/>
      <c r="D339" s="163"/>
      <c r="E339" s="163"/>
      <c r="F339" s="94"/>
      <c r="G339" s="94"/>
      <c r="H339" s="94"/>
      <c r="I339" s="136"/>
      <c r="J339" s="136"/>
      <c r="K339" s="10"/>
      <c r="L339" s="18"/>
    </row>
    <row r="340" spans="2:12" x14ac:dyDescent="0.2">
      <c r="B340" s="143" t="s">
        <v>366</v>
      </c>
      <c r="C340" s="126"/>
      <c r="D340" s="94"/>
      <c r="E340" s="143"/>
      <c r="F340" s="94"/>
      <c r="G340" s="94"/>
      <c r="H340" s="94"/>
      <c r="I340" s="94"/>
      <c r="J340" s="94"/>
      <c r="K340" s="18"/>
      <c r="L340" s="18"/>
    </row>
    <row r="341" spans="2:12" x14ac:dyDescent="0.2">
      <c r="B341" s="84">
        <f>'14. General'!B5</f>
        <v>0</v>
      </c>
      <c r="C341" s="126" t="s">
        <v>367</v>
      </c>
      <c r="D341" s="125" t="s">
        <v>368</v>
      </c>
      <c r="E341" s="125"/>
      <c r="F341" s="125"/>
      <c r="G341" s="125"/>
      <c r="H341" s="125"/>
      <c r="I341" s="136"/>
      <c r="J341" s="136"/>
      <c r="K341" s="10"/>
      <c r="L341" s="18"/>
    </row>
    <row r="342" spans="2:12" x14ac:dyDescent="0.2">
      <c r="B342" s="1361" t="s">
        <v>370</v>
      </c>
      <c r="C342" s="1361"/>
      <c r="D342" s="94"/>
      <c r="E342" s="94"/>
      <c r="F342" s="94"/>
      <c r="G342" s="94"/>
      <c r="H342" s="94"/>
      <c r="I342" s="94"/>
      <c r="J342" s="94"/>
      <c r="K342" s="18"/>
      <c r="L342" s="18"/>
    </row>
    <row r="343" spans="2:12" x14ac:dyDescent="0.2">
      <c r="B343" s="84">
        <f>'14. General'!B9</f>
        <v>0</v>
      </c>
      <c r="C343" s="126">
        <v>2</v>
      </c>
      <c r="D343" s="1362" t="s">
        <v>371</v>
      </c>
      <c r="E343" s="1362"/>
      <c r="F343" s="1362"/>
      <c r="G343" s="1362"/>
      <c r="H343" s="94"/>
      <c r="I343" s="94"/>
      <c r="J343" s="94"/>
      <c r="K343" s="18"/>
      <c r="L343" s="18"/>
    </row>
    <row r="344" spans="2:12" x14ac:dyDescent="0.2">
      <c r="B344" s="84">
        <f>'14. General'!B10</f>
        <v>0</v>
      </c>
      <c r="C344" s="244" t="s">
        <v>47</v>
      </c>
      <c r="D344" s="1362" t="s">
        <v>372</v>
      </c>
      <c r="E344" s="1362"/>
      <c r="F344" s="94"/>
      <c r="G344" s="94"/>
      <c r="H344" s="94"/>
      <c r="I344" s="94"/>
      <c r="J344" s="94"/>
      <c r="K344" s="18"/>
      <c r="L344" s="18"/>
    </row>
    <row r="345" spans="2:12" x14ac:dyDescent="0.2">
      <c r="B345" s="84">
        <f>'14. General'!B11</f>
        <v>0</v>
      </c>
      <c r="C345" s="126">
        <v>1</v>
      </c>
      <c r="D345" s="1375" t="s">
        <v>473</v>
      </c>
      <c r="E345" s="1375"/>
      <c r="F345" s="1375"/>
      <c r="G345" s="1375"/>
      <c r="H345" s="94"/>
      <c r="I345" s="129"/>
      <c r="J345" s="129"/>
      <c r="K345" s="23"/>
      <c r="L345" s="23"/>
    </row>
    <row r="346" spans="2:12" x14ac:dyDescent="0.2">
      <c r="B346" s="137" t="s">
        <v>373</v>
      </c>
      <c r="C346" s="137"/>
      <c r="D346" s="137"/>
      <c r="E346" s="94"/>
      <c r="F346" s="94"/>
      <c r="G346" s="94"/>
      <c r="H346" s="94"/>
      <c r="I346" s="129"/>
      <c r="J346" s="129"/>
      <c r="K346" s="23"/>
      <c r="L346" s="23"/>
    </row>
    <row r="347" spans="2:12" x14ac:dyDescent="0.2">
      <c r="B347" s="84">
        <f>'14. General'!B18</f>
        <v>0</v>
      </c>
      <c r="C347" s="244" t="s">
        <v>104</v>
      </c>
      <c r="D347" s="1363" t="s">
        <v>374</v>
      </c>
      <c r="E347" s="1363"/>
      <c r="F347" s="1363"/>
      <c r="G347" s="1363"/>
      <c r="H347" s="94"/>
      <c r="I347" s="129"/>
      <c r="J347" s="129"/>
      <c r="K347" s="23"/>
      <c r="L347" s="23"/>
    </row>
    <row r="348" spans="2:12" x14ac:dyDescent="0.2">
      <c r="B348" s="146" t="s">
        <v>375</v>
      </c>
      <c r="C348" s="126"/>
      <c r="D348" s="94"/>
      <c r="E348" s="94"/>
      <c r="F348" s="94"/>
      <c r="G348" s="94"/>
      <c r="H348" s="94"/>
      <c r="I348" s="129"/>
      <c r="J348" s="129"/>
      <c r="K348" s="23"/>
      <c r="L348" s="23"/>
    </row>
    <row r="349" spans="2:12" x14ac:dyDescent="0.2">
      <c r="B349" s="84">
        <f>'14. General'!B22</f>
        <v>0</v>
      </c>
      <c r="C349" s="126">
        <v>10</v>
      </c>
      <c r="D349" s="245" t="s">
        <v>492</v>
      </c>
      <c r="E349" s="187"/>
      <c r="F349" s="94"/>
      <c r="G349" s="94"/>
      <c r="H349" s="94"/>
      <c r="I349" s="130"/>
      <c r="J349" s="130"/>
      <c r="K349" s="24"/>
      <c r="L349" s="24"/>
    </row>
    <row r="350" spans="2:12" x14ac:dyDescent="0.2">
      <c r="B350" s="84">
        <f>'14. General'!B23</f>
        <v>0</v>
      </c>
      <c r="C350" s="126">
        <v>3</v>
      </c>
      <c r="D350" s="187" t="s">
        <v>376</v>
      </c>
      <c r="E350" s="187"/>
      <c r="F350" s="187"/>
      <c r="G350" s="187"/>
      <c r="H350" s="94"/>
      <c r="I350" s="130"/>
      <c r="J350" s="130"/>
      <c r="K350" s="24"/>
      <c r="L350" s="24"/>
    </row>
    <row r="351" spans="2:12" x14ac:dyDescent="0.2">
      <c r="B351" s="84">
        <f>'14. General'!B24</f>
        <v>0</v>
      </c>
      <c r="C351" s="126">
        <v>2</v>
      </c>
      <c r="D351" s="199" t="s">
        <v>404</v>
      </c>
      <c r="E351" s="199"/>
      <c r="F351" s="199"/>
      <c r="G351" s="199"/>
      <c r="H351" s="199"/>
      <c r="I351" s="129"/>
      <c r="J351" s="129"/>
      <c r="K351" s="23"/>
      <c r="L351" s="23"/>
    </row>
    <row r="352" spans="2:12" x14ac:dyDescent="0.2">
      <c r="B352" s="59"/>
      <c r="C352" s="126"/>
      <c r="D352" s="187" t="s">
        <v>405</v>
      </c>
      <c r="E352" s="187"/>
      <c r="F352" s="187"/>
      <c r="G352" s="187"/>
      <c r="H352" s="187"/>
      <c r="I352" s="129"/>
      <c r="J352" s="129"/>
      <c r="K352" s="23"/>
      <c r="L352" s="23"/>
    </row>
    <row r="353" spans="2:12" x14ac:dyDescent="0.2">
      <c r="B353" s="146" t="s">
        <v>378</v>
      </c>
      <c r="C353" s="126"/>
      <c r="D353" s="94"/>
      <c r="E353" s="94"/>
      <c r="F353" s="94"/>
      <c r="G353" s="94"/>
      <c r="H353" s="94"/>
      <c r="I353" s="140"/>
      <c r="J353" s="129"/>
      <c r="K353" s="23"/>
      <c r="L353" s="23"/>
    </row>
    <row r="354" spans="2:12" x14ac:dyDescent="0.2">
      <c r="B354" s="84">
        <f>'14. General'!B29</f>
        <v>1</v>
      </c>
      <c r="C354" s="124" t="s">
        <v>47</v>
      </c>
      <c r="D354" s="187" t="s">
        <v>379</v>
      </c>
      <c r="E354" s="187"/>
      <c r="F354" s="187"/>
      <c r="G354" s="187"/>
      <c r="H354" s="187"/>
      <c r="I354" s="129"/>
      <c r="J354" s="129"/>
      <c r="K354" s="23"/>
      <c r="L354" s="23"/>
    </row>
    <row r="355" spans="2:12" x14ac:dyDescent="0.2">
      <c r="B355" s="84">
        <f>'14. General'!B31</f>
        <v>2</v>
      </c>
      <c r="C355" s="126">
        <v>2</v>
      </c>
      <c r="D355" s="187" t="s">
        <v>381</v>
      </c>
      <c r="E355" s="187"/>
      <c r="F355" s="187"/>
      <c r="G355" s="187"/>
      <c r="H355" s="187"/>
      <c r="I355" s="130"/>
      <c r="J355" s="130"/>
      <c r="K355" s="23"/>
      <c r="L355" s="23"/>
    </row>
    <row r="356" spans="2:12" x14ac:dyDescent="0.2">
      <c r="B356" s="84" t="e">
        <f>'14. General'!#REF!</f>
        <v>#REF!</v>
      </c>
      <c r="C356" s="126">
        <v>2</v>
      </c>
      <c r="D356" s="187" t="s">
        <v>382</v>
      </c>
      <c r="E356" s="187"/>
      <c r="F356" s="187"/>
      <c r="G356" s="187"/>
      <c r="H356" s="187"/>
      <c r="I356" s="47"/>
      <c r="J356" s="47"/>
      <c r="K356" s="13"/>
      <c r="L356" s="13"/>
    </row>
    <row r="357" spans="2:12" x14ac:dyDescent="0.2">
      <c r="B357" s="84">
        <f>'14. General'!B32</f>
        <v>2</v>
      </c>
      <c r="C357" s="126">
        <v>2</v>
      </c>
      <c r="D357" s="187" t="s">
        <v>383</v>
      </c>
      <c r="E357" s="187"/>
      <c r="F357" s="187"/>
      <c r="G357" s="187"/>
      <c r="H357" s="94"/>
      <c r="I357" s="47"/>
      <c r="J357" s="47"/>
      <c r="K357" s="13"/>
      <c r="L357" s="13"/>
    </row>
    <row r="358" spans="2:12" x14ac:dyDescent="0.2">
      <c r="B358" s="84">
        <f>'14. General'!B33</f>
        <v>0</v>
      </c>
      <c r="C358" s="126">
        <v>2</v>
      </c>
      <c r="D358" s="187" t="s">
        <v>384</v>
      </c>
      <c r="E358" s="187"/>
      <c r="F358" s="187"/>
      <c r="G358" s="187"/>
      <c r="H358" s="94"/>
      <c r="I358" s="47"/>
      <c r="J358" s="47"/>
      <c r="K358" s="13"/>
      <c r="L358" s="13"/>
    </row>
    <row r="359" spans="2:12" x14ac:dyDescent="0.2">
      <c r="B359" s="84">
        <f>'14. General'!B35</f>
        <v>0</v>
      </c>
      <c r="C359" s="126">
        <v>2</v>
      </c>
      <c r="D359" s="187" t="s">
        <v>385</v>
      </c>
      <c r="E359" s="187"/>
      <c r="F359" s="187"/>
      <c r="G359" s="94"/>
      <c r="H359" s="94"/>
      <c r="I359" s="47"/>
      <c r="J359" s="47"/>
      <c r="K359" s="13"/>
      <c r="L359" s="13"/>
    </row>
    <row r="360" spans="2:12" x14ac:dyDescent="0.2">
      <c r="B360" s="84" t="e">
        <f>'14. General'!#REF!</f>
        <v>#REF!</v>
      </c>
      <c r="C360" s="126">
        <v>2</v>
      </c>
      <c r="D360" s="187" t="s">
        <v>386</v>
      </c>
      <c r="E360" s="187"/>
      <c r="F360" s="187"/>
      <c r="G360" s="187"/>
      <c r="H360" s="94"/>
      <c r="I360" s="47"/>
      <c r="J360" s="47"/>
      <c r="K360" s="13"/>
      <c r="L360" s="13"/>
    </row>
    <row r="361" spans="2:12" x14ac:dyDescent="0.2">
      <c r="B361" s="84">
        <f>'14. General'!B37</f>
        <v>0</v>
      </c>
      <c r="C361" s="247" t="s">
        <v>104</v>
      </c>
      <c r="D361" s="245" t="s">
        <v>387</v>
      </c>
      <c r="E361" s="246"/>
      <c r="F361" s="208"/>
      <c r="G361" s="94"/>
      <c r="H361" s="94"/>
      <c r="I361" s="47"/>
      <c r="J361" s="47"/>
      <c r="K361" s="13"/>
      <c r="L361" s="13"/>
    </row>
    <row r="362" spans="2:12" x14ac:dyDescent="0.2">
      <c r="B362" s="94"/>
      <c r="C362" s="94"/>
      <c r="D362" s="209" t="s">
        <v>388</v>
      </c>
      <c r="E362" s="209"/>
      <c r="F362" s="210"/>
      <c r="G362" s="211"/>
      <c r="H362" s="212"/>
      <c r="I362" s="47"/>
      <c r="J362" s="47"/>
      <c r="K362" s="13"/>
      <c r="L362" s="13"/>
    </row>
    <row r="363" spans="2:12" x14ac:dyDescent="0.2">
      <c r="B363" s="94"/>
      <c r="C363" s="94"/>
      <c r="D363" s="211"/>
      <c r="E363" s="190"/>
      <c r="F363" s="190"/>
      <c r="G363" s="190"/>
      <c r="H363" s="212"/>
      <c r="I363" s="47"/>
      <c r="J363" s="47"/>
      <c r="K363" s="13"/>
      <c r="L363" s="13"/>
    </row>
    <row r="364" spans="2:12" x14ac:dyDescent="0.2">
      <c r="B364" s="84">
        <f>'14. General'!B40</f>
        <v>5</v>
      </c>
      <c r="C364" s="126">
        <v>84</v>
      </c>
      <c r="D364" s="213" t="s">
        <v>111</v>
      </c>
      <c r="E364" s="213"/>
      <c r="F364" s="94"/>
      <c r="G364" s="94"/>
      <c r="H364" s="94"/>
      <c r="I364" s="47"/>
      <c r="J364" s="47"/>
      <c r="K364" s="13"/>
      <c r="L364" s="13"/>
    </row>
    <row r="365" spans="2:12" x14ac:dyDescent="0.2">
      <c r="B365" s="94"/>
      <c r="C365" s="126"/>
      <c r="D365" s="94"/>
      <c r="E365" s="94"/>
      <c r="F365" s="94"/>
      <c r="G365" s="94"/>
      <c r="H365" s="94"/>
      <c r="I365" s="47"/>
      <c r="J365" s="47"/>
      <c r="K365" s="13"/>
      <c r="L365" s="13"/>
    </row>
    <row r="366" spans="2:12" x14ac:dyDescent="0.2">
      <c r="B366" s="84">
        <f>'14. General'!B42</f>
        <v>5</v>
      </c>
      <c r="C366" s="147" t="s">
        <v>389</v>
      </c>
      <c r="D366" s="148"/>
      <c r="E366" s="148"/>
      <c r="F366" s="148"/>
      <c r="G366" s="128"/>
      <c r="H366" s="128"/>
      <c r="I366" s="47"/>
      <c r="J366" s="47"/>
      <c r="K366" s="13"/>
      <c r="L366" s="13"/>
    </row>
    <row r="367" spans="2:12" x14ac:dyDescent="0.2">
      <c r="B367" s="94"/>
      <c r="C367" s="94"/>
      <c r="D367" s="94"/>
      <c r="E367" s="94"/>
      <c r="F367" s="94"/>
      <c r="G367" s="94"/>
      <c r="H367" s="94"/>
      <c r="I367" s="47"/>
      <c r="J367" s="47"/>
      <c r="K367" s="13"/>
      <c r="L367" s="13"/>
    </row>
    <row r="368" spans="2:12" x14ac:dyDescent="0.2">
      <c r="B368" s="1365" t="s">
        <v>390</v>
      </c>
      <c r="C368" s="1365"/>
      <c r="D368" s="1365"/>
      <c r="E368" s="191">
        <f>'14. General'!E44</f>
        <v>0</v>
      </c>
      <c r="F368" s="191"/>
      <c r="G368" s="191"/>
      <c r="H368" s="191"/>
      <c r="I368" s="47"/>
      <c r="J368" s="47"/>
      <c r="K368" s="13"/>
      <c r="L368" s="13"/>
    </row>
    <row r="369" spans="9:12" x14ac:dyDescent="0.2">
      <c r="I369" s="47"/>
      <c r="J369" s="47"/>
      <c r="K369" s="13"/>
      <c r="L369" s="13"/>
    </row>
    <row r="370" spans="9:12" x14ac:dyDescent="0.2">
      <c r="I370" s="47"/>
      <c r="J370" s="47"/>
      <c r="K370" s="13"/>
      <c r="L370" s="13"/>
    </row>
    <row r="371" spans="9:12" x14ac:dyDescent="0.2">
      <c r="I371" s="47"/>
      <c r="J371" s="47"/>
      <c r="K371" s="13"/>
      <c r="L371" s="13"/>
    </row>
    <row r="372" spans="9:12" x14ac:dyDescent="0.2">
      <c r="I372" s="47"/>
      <c r="J372" s="47"/>
      <c r="K372" s="13"/>
      <c r="L372" s="13"/>
    </row>
    <row r="373" spans="9:12" x14ac:dyDescent="0.2">
      <c r="I373" s="47"/>
      <c r="J373" s="47"/>
      <c r="K373" s="13"/>
      <c r="L373" s="13"/>
    </row>
    <row r="374" spans="9:12" x14ac:dyDescent="0.2">
      <c r="I374" s="47"/>
      <c r="J374" s="47"/>
      <c r="K374" s="13"/>
      <c r="L374" s="13"/>
    </row>
    <row r="375" spans="9:12" x14ac:dyDescent="0.2">
      <c r="I375" s="47"/>
      <c r="J375" s="47"/>
      <c r="K375" s="13"/>
      <c r="L375" s="13"/>
    </row>
    <row r="376" spans="9:12" x14ac:dyDescent="0.2">
      <c r="I376" s="47"/>
      <c r="J376" s="47"/>
      <c r="K376" s="13"/>
      <c r="L376" s="13"/>
    </row>
    <row r="377" spans="9:12" x14ac:dyDescent="0.2">
      <c r="I377" s="47"/>
      <c r="J377" s="47"/>
      <c r="K377" s="13"/>
      <c r="L377" s="13"/>
    </row>
    <row r="378" spans="9:12" x14ac:dyDescent="0.2">
      <c r="I378" s="47"/>
      <c r="J378" s="47"/>
      <c r="K378" s="13"/>
      <c r="L378" s="13"/>
    </row>
    <row r="379" spans="9:12" x14ac:dyDescent="0.2">
      <c r="I379" s="47"/>
      <c r="J379" s="47"/>
      <c r="K379" s="13"/>
      <c r="L379" s="13"/>
    </row>
    <row r="380" spans="9:12" x14ac:dyDescent="0.2">
      <c r="I380" s="47"/>
      <c r="J380" s="47"/>
      <c r="K380" s="13"/>
      <c r="L380" s="13"/>
    </row>
    <row r="383" spans="9:12" x14ac:dyDescent="0.2">
      <c r="I383" s="42"/>
    </row>
    <row r="384" spans="9:12" x14ac:dyDescent="0.2">
      <c r="I384" s="30"/>
    </row>
    <row r="385" spans="2:17" x14ac:dyDescent="0.2">
      <c r="I385" s="30"/>
    </row>
    <row r="386" spans="2:17" x14ac:dyDescent="0.2">
      <c r="I386" s="30"/>
      <c r="L386" s="221"/>
      <c r="M386" s="301"/>
      <c r="N386" s="221"/>
    </row>
    <row r="387" spans="2:17" x14ac:dyDescent="0.2">
      <c r="B387" s="1364" t="s">
        <v>127</v>
      </c>
      <c r="C387" s="1364"/>
      <c r="D387" s="1364"/>
      <c r="E387" s="1364"/>
      <c r="F387" s="1364"/>
      <c r="G387" s="1364"/>
      <c r="H387" s="1364"/>
      <c r="I387" s="165"/>
      <c r="L387" s="221"/>
      <c r="M387" s="301"/>
      <c r="N387" s="221"/>
    </row>
    <row r="388" spans="2:17" x14ac:dyDescent="0.2">
      <c r="B388" s="4" t="s">
        <v>406</v>
      </c>
      <c r="I388" s="30"/>
      <c r="L388" s="222" t="str">
        <f>IF(M394&lt;0,"Failed","")</f>
        <v>Failed</v>
      </c>
      <c r="M388" s="301"/>
      <c r="N388" s="221"/>
    </row>
    <row r="389" spans="2:17" x14ac:dyDescent="0.2">
      <c r="I389" s="165"/>
      <c r="L389" s="223">
        <f>IF(AND(M394&gt;=0,M394&lt;=30),"Bronze",0)</f>
        <v>0</v>
      </c>
      <c r="M389" s="301"/>
      <c r="N389" s="221"/>
    </row>
    <row r="390" spans="2:17" x14ac:dyDescent="0.2">
      <c r="B390" s="39" t="s">
        <v>128</v>
      </c>
      <c r="F390" s="42" t="s">
        <v>129</v>
      </c>
      <c r="G390" s="41"/>
      <c r="H390" s="42" t="s">
        <v>130</v>
      </c>
      <c r="I390" s="165"/>
      <c r="L390" s="223">
        <f>IF(AND(M394&gt;=31,M394&lt;=60),"Silver",0)</f>
        <v>0</v>
      </c>
      <c r="M390" s="305"/>
      <c r="N390" s="220"/>
      <c r="O390" s="215"/>
      <c r="P390" s="2"/>
    </row>
    <row r="391" spans="2:17" x14ac:dyDescent="0.2">
      <c r="B391" s="1356" t="s">
        <v>131</v>
      </c>
      <c r="C391" s="1356"/>
      <c r="F391" s="43">
        <f>B79</f>
        <v>43</v>
      </c>
      <c r="H391" s="43" t="s">
        <v>132</v>
      </c>
      <c r="I391" s="30"/>
      <c r="L391" s="223">
        <f>IF(AND(M394&gt;=61,M394&lt;=90),"Gold",0)</f>
        <v>0</v>
      </c>
      <c r="M391" s="301"/>
      <c r="N391" s="221"/>
      <c r="O391" s="4"/>
      <c r="P391" s="4"/>
      <c r="Q391" s="4"/>
    </row>
    <row r="392" spans="2:17" x14ac:dyDescent="0.2">
      <c r="B392" s="1356" t="s">
        <v>133</v>
      </c>
      <c r="C392" s="1356"/>
      <c r="F392" s="43">
        <f>B132</f>
        <v>12</v>
      </c>
      <c r="H392" s="43" t="s">
        <v>134</v>
      </c>
      <c r="I392" s="30"/>
      <c r="J392" s="30"/>
      <c r="K392" s="20"/>
      <c r="L392" s="223">
        <f>IF(M394&gt;=91,"Platinum",0)</f>
        <v>0</v>
      </c>
      <c r="M392" s="301"/>
      <c r="N392" s="221"/>
    </row>
    <row r="393" spans="2:17" x14ac:dyDescent="0.2">
      <c r="B393" s="164" t="s">
        <v>135</v>
      </c>
      <c r="C393" s="164"/>
      <c r="D393" s="164"/>
      <c r="F393" s="43">
        <f>B152</f>
        <v>0</v>
      </c>
      <c r="H393" s="43" t="s">
        <v>136</v>
      </c>
      <c r="L393" s="221"/>
      <c r="M393" s="301"/>
      <c r="N393" s="221"/>
    </row>
    <row r="394" spans="2:17" x14ac:dyDescent="0.2">
      <c r="B394" s="1356" t="s">
        <v>137</v>
      </c>
      <c r="C394" s="1356"/>
      <c r="F394" s="43">
        <f>B180</f>
        <v>4</v>
      </c>
      <c r="H394" s="57" t="s">
        <v>138</v>
      </c>
      <c r="L394" s="221"/>
      <c r="M394" s="301">
        <f>F399-F400</f>
        <v>-7</v>
      </c>
      <c r="N394" s="221"/>
    </row>
    <row r="395" spans="2:17" x14ac:dyDescent="0.2">
      <c r="B395" s="1356" t="s">
        <v>139</v>
      </c>
      <c r="C395" s="1356"/>
      <c r="F395" s="43">
        <f>B236</f>
        <v>22</v>
      </c>
      <c r="H395" s="43" t="s">
        <v>140</v>
      </c>
      <c r="L395" s="221"/>
      <c r="M395" s="301"/>
      <c r="N395" s="221"/>
    </row>
    <row r="396" spans="2:17" x14ac:dyDescent="0.2">
      <c r="B396" s="164" t="s">
        <v>141</v>
      </c>
      <c r="C396" s="164"/>
      <c r="F396" s="43">
        <f>B284</f>
        <v>8</v>
      </c>
      <c r="H396" s="57" t="s">
        <v>142</v>
      </c>
      <c r="L396" s="221"/>
      <c r="M396" s="301"/>
      <c r="N396" s="221"/>
    </row>
    <row r="397" spans="2:17" x14ac:dyDescent="0.2">
      <c r="B397" s="1356" t="s">
        <v>143</v>
      </c>
      <c r="C397" s="1356"/>
      <c r="D397" s="1356"/>
      <c r="F397" s="43">
        <f>B333</f>
        <v>5</v>
      </c>
      <c r="H397" s="57" t="s">
        <v>138</v>
      </c>
      <c r="L397" s="221"/>
      <c r="M397" s="301"/>
      <c r="N397" s="221"/>
    </row>
    <row r="398" spans="2:17" x14ac:dyDescent="0.2">
      <c r="B398" s="1356" t="s">
        <v>144</v>
      </c>
      <c r="C398" s="1356"/>
      <c r="F398" s="43">
        <f>B366</f>
        <v>5</v>
      </c>
      <c r="H398" s="43" t="s">
        <v>145</v>
      </c>
      <c r="I398" s="167"/>
      <c r="J398" s="167"/>
      <c r="K398" s="26"/>
      <c r="L398" s="26"/>
    </row>
    <row r="399" spans="2:17" x14ac:dyDescent="0.2">
      <c r="C399" s="38"/>
      <c r="E399" s="45" t="s">
        <v>146</v>
      </c>
      <c r="F399" s="46">
        <f>SUM(F391:F398)</f>
        <v>99</v>
      </c>
      <c r="I399" s="47"/>
      <c r="J399" s="47"/>
      <c r="K399" s="13"/>
      <c r="L399" s="13"/>
    </row>
    <row r="400" spans="2:17" x14ac:dyDescent="0.2">
      <c r="C400" s="38"/>
      <c r="E400" s="166" t="s">
        <v>147</v>
      </c>
      <c r="F400" s="46">
        <f>'Progress JL'!G19</f>
        <v>106</v>
      </c>
      <c r="I400" s="47"/>
      <c r="J400" s="47"/>
      <c r="K400" s="13"/>
      <c r="L400" s="13"/>
    </row>
    <row r="401" spans="2:12" x14ac:dyDescent="0.2">
      <c r="D401" s="1382" t="s">
        <v>441</v>
      </c>
      <c r="E401" s="1382"/>
      <c r="F401" s="1382"/>
      <c r="G401" s="1382"/>
      <c r="I401" s="47"/>
      <c r="J401" s="47"/>
      <c r="K401" s="13"/>
      <c r="L401" s="13"/>
    </row>
    <row r="402" spans="2:12" x14ac:dyDescent="0.2">
      <c r="B402" s="177"/>
      <c r="C402" s="219" t="str">
        <f>IF(M394&lt;0,"Failed","")</f>
        <v>Failed</v>
      </c>
      <c r="D402" s="9" t="str">
        <f>IF(AND(M394&gt;=0,M394&lt;=30),"Bronze","")</f>
        <v/>
      </c>
      <c r="E402" s="216" t="str">
        <f>IF(AND(M394&gt;=31,M394&lt;=60),"Silver","")</f>
        <v/>
      </c>
      <c r="F402" s="216" t="str">
        <f>IF(AND(M394&gt;=61,M394&lt;=90),"Gold","")</f>
        <v/>
      </c>
      <c r="G402" s="216" t="str">
        <f>IF(M394&gt;=91,"Platinum","")</f>
        <v/>
      </c>
      <c r="I402" s="47"/>
      <c r="J402" s="72"/>
      <c r="K402" s="27"/>
      <c r="L402" s="27"/>
    </row>
    <row r="403" spans="2:12" x14ac:dyDescent="0.2">
      <c r="B403" s="177"/>
      <c r="C403" s="217"/>
      <c r="D403" s="214"/>
      <c r="E403" s="218"/>
      <c r="F403" s="218"/>
      <c r="G403" s="218"/>
      <c r="I403" s="47"/>
      <c r="J403" s="72"/>
      <c r="K403" s="27"/>
      <c r="L403" s="27"/>
    </row>
    <row r="404" spans="2:12" x14ac:dyDescent="0.2">
      <c r="B404" s="1364" t="s">
        <v>407</v>
      </c>
      <c r="C404" s="1364"/>
      <c r="D404" s="1364"/>
      <c r="E404" s="1364"/>
      <c r="F404" s="1364"/>
      <c r="G404" s="1364"/>
      <c r="H404" s="1364"/>
      <c r="I404" s="47"/>
      <c r="J404" s="72"/>
      <c r="K404" s="27"/>
      <c r="L404" s="27"/>
    </row>
    <row r="405" spans="2:12" x14ac:dyDescent="0.2">
      <c r="B405" s="167" t="s">
        <v>408</v>
      </c>
      <c r="C405" s="167"/>
      <c r="D405" s="167"/>
      <c r="E405" s="167"/>
      <c r="F405" s="167"/>
      <c r="G405" s="167"/>
      <c r="H405" s="167"/>
      <c r="I405" s="47"/>
      <c r="J405" s="72"/>
      <c r="K405" s="27"/>
      <c r="L405" s="27"/>
    </row>
    <row r="406" spans="2:12" x14ac:dyDescent="0.2">
      <c r="B406" s="47"/>
      <c r="C406" s="168"/>
      <c r="D406" s="47"/>
      <c r="E406" s="47"/>
      <c r="F406" s="47"/>
      <c r="G406" s="47"/>
      <c r="H406" s="47"/>
      <c r="I406" s="47"/>
      <c r="J406" s="47"/>
      <c r="K406" s="13"/>
      <c r="L406" s="13"/>
    </row>
    <row r="407" spans="2:12" x14ac:dyDescent="0.2">
      <c r="B407" s="47" t="s">
        <v>409</v>
      </c>
      <c r="C407" s="167"/>
      <c r="D407" s="167"/>
      <c r="E407" s="167"/>
      <c r="F407" s="167"/>
      <c r="G407" s="47"/>
      <c r="H407" s="47"/>
      <c r="I407" s="47"/>
      <c r="J407" s="47"/>
      <c r="K407" s="13"/>
      <c r="L407" s="13"/>
    </row>
    <row r="408" spans="2:12" x14ac:dyDescent="0.2">
      <c r="B408" s="1385" t="s">
        <v>114</v>
      </c>
      <c r="C408" s="1385"/>
      <c r="D408" s="1385"/>
      <c r="E408" s="1385"/>
      <c r="F408" s="47"/>
      <c r="G408" s="47"/>
      <c r="H408" s="47"/>
      <c r="I408" s="47"/>
      <c r="J408" s="47"/>
      <c r="K408" s="13"/>
      <c r="L408" s="13"/>
    </row>
    <row r="409" spans="2:12" x14ac:dyDescent="0.2">
      <c r="B409" s="1385" t="s">
        <v>410</v>
      </c>
      <c r="C409" s="1385"/>
      <c r="D409" s="1385"/>
      <c r="E409" s="1385"/>
      <c r="F409" s="47"/>
      <c r="G409" s="1385" t="s">
        <v>414</v>
      </c>
      <c r="H409" s="1385"/>
      <c r="I409" s="47"/>
      <c r="J409" s="47"/>
      <c r="K409" s="13"/>
      <c r="L409" s="13"/>
    </row>
    <row r="410" spans="2:12" x14ac:dyDescent="0.2">
      <c r="B410" s="1385" t="s">
        <v>411</v>
      </c>
      <c r="C410" s="1385"/>
      <c r="D410" s="1385"/>
      <c r="E410" s="1385"/>
      <c r="F410" s="47"/>
      <c r="G410" s="1385" t="s">
        <v>415</v>
      </c>
      <c r="H410" s="1385"/>
      <c r="I410" s="47"/>
      <c r="J410" s="47"/>
      <c r="K410" s="13"/>
      <c r="L410" s="13"/>
    </row>
    <row r="411" spans="2:12" x14ac:dyDescent="0.2">
      <c r="B411" s="47"/>
      <c r="C411" s="47"/>
      <c r="D411" s="47"/>
      <c r="E411" s="47"/>
      <c r="F411" s="47"/>
      <c r="G411" s="1385" t="s">
        <v>416</v>
      </c>
      <c r="H411" s="1385"/>
      <c r="I411" s="47"/>
      <c r="J411" s="47"/>
      <c r="K411" s="13"/>
      <c r="L411" s="13"/>
    </row>
    <row r="412" spans="2:12" x14ac:dyDescent="0.2">
      <c r="B412" s="47" t="s">
        <v>412</v>
      </c>
      <c r="C412" s="47"/>
      <c r="D412" s="47"/>
      <c r="E412" s="47"/>
      <c r="F412" s="47"/>
      <c r="G412" s="47"/>
      <c r="H412" s="47"/>
      <c r="I412" s="47"/>
      <c r="J412" s="173"/>
      <c r="K412" s="174"/>
      <c r="L412" s="13"/>
    </row>
    <row r="413" spans="2:12" x14ac:dyDescent="0.2">
      <c r="B413" s="1384" t="s">
        <v>438</v>
      </c>
      <c r="C413" s="1384"/>
      <c r="D413" s="1384"/>
      <c r="E413" s="169">
        <v>50</v>
      </c>
      <c r="F413" s="47"/>
      <c r="G413" s="47"/>
      <c r="H413" s="47"/>
      <c r="I413" s="63"/>
      <c r="J413" s="63"/>
      <c r="K413" s="21"/>
      <c r="L413" s="21"/>
    </row>
    <row r="414" spans="2:12" x14ac:dyDescent="0.2">
      <c r="B414" s="1384" t="s">
        <v>439</v>
      </c>
      <c r="C414" s="1384"/>
      <c r="D414" s="1384"/>
      <c r="E414" s="170">
        <v>75</v>
      </c>
      <c r="F414" s="47"/>
      <c r="G414" s="47"/>
      <c r="H414" s="47"/>
      <c r="I414" s="63"/>
      <c r="J414" s="63"/>
      <c r="K414" s="21"/>
      <c r="L414" s="21"/>
    </row>
    <row r="415" spans="2:12" x14ac:dyDescent="0.2">
      <c r="B415" s="1384" t="s">
        <v>413</v>
      </c>
      <c r="C415" s="1384"/>
      <c r="D415" s="1384"/>
      <c r="E415" s="170">
        <v>100</v>
      </c>
      <c r="F415" s="171"/>
      <c r="G415" s="47"/>
      <c r="H415" s="47"/>
      <c r="I415" s="63"/>
      <c r="J415" s="63"/>
      <c r="K415" s="21"/>
      <c r="L415" s="21"/>
    </row>
    <row r="416" spans="2:12" x14ac:dyDescent="0.2">
      <c r="B416" s="47"/>
      <c r="C416" s="172"/>
      <c r="D416" s="172"/>
      <c r="E416" s="172"/>
      <c r="F416" s="171"/>
      <c r="G416" s="47"/>
      <c r="H416" s="47"/>
      <c r="I416" s="63"/>
      <c r="J416" s="63"/>
      <c r="K416" s="21"/>
      <c r="L416" s="21"/>
    </row>
    <row r="417" spans="2:12" x14ac:dyDescent="0.2">
      <c r="B417" s="47"/>
      <c r="C417" s="228" t="s">
        <v>116</v>
      </c>
      <c r="D417" s="228"/>
      <c r="E417" s="172"/>
      <c r="F417" s="171"/>
      <c r="G417" s="11" t="s">
        <v>117</v>
      </c>
      <c r="H417" s="47"/>
      <c r="I417" s="63"/>
      <c r="J417" s="63"/>
      <c r="K417" s="21"/>
      <c r="L417" s="21"/>
    </row>
    <row r="418" spans="2:12" x14ac:dyDescent="0.2">
      <c r="B418" s="47" t="s">
        <v>417</v>
      </c>
      <c r="C418" s="1381" t="e">
        <f>'1. Instructions'!#REF!</f>
        <v>#REF!</v>
      </c>
      <c r="D418" s="1381"/>
      <c r="E418" s="1381"/>
      <c r="F418" s="257" t="s">
        <v>417</v>
      </c>
      <c r="G418" s="1381">
        <f>'1. Instructions'!E31</f>
        <v>0</v>
      </c>
      <c r="H418" s="1381"/>
      <c r="I418" s="63"/>
      <c r="J418" s="63"/>
      <c r="K418" s="21"/>
      <c r="L418" s="21"/>
    </row>
    <row r="419" spans="2:12" x14ac:dyDescent="0.2">
      <c r="B419" s="47" t="s">
        <v>418</v>
      </c>
      <c r="C419" s="1376">
        <f>'7. Energy'!F63</f>
        <v>0</v>
      </c>
      <c r="D419" s="1376"/>
      <c r="E419" s="1376"/>
      <c r="F419" s="257" t="s">
        <v>419</v>
      </c>
      <c r="G419" s="1376" t="e">
        <f>'1. Instructions'!#REF!</f>
        <v>#REF!</v>
      </c>
      <c r="H419" s="1376"/>
      <c r="I419" s="63"/>
      <c r="J419" s="63"/>
      <c r="K419" s="21"/>
      <c r="L419" s="21"/>
    </row>
    <row r="420" spans="2:12" x14ac:dyDescent="0.2">
      <c r="B420" s="47" t="s">
        <v>419</v>
      </c>
      <c r="C420" s="1376">
        <f>'7. Energy'!F64</f>
        <v>0</v>
      </c>
      <c r="D420" s="1376"/>
      <c r="E420" s="1376"/>
      <c r="F420" s="257" t="s">
        <v>420</v>
      </c>
      <c r="G420" s="1376">
        <f>'1. Instructions'!E38</f>
        <v>0</v>
      </c>
      <c r="H420" s="1376"/>
      <c r="I420" s="30"/>
      <c r="J420" s="30"/>
      <c r="K420" s="13"/>
      <c r="L420" s="13"/>
    </row>
    <row r="421" spans="2:12" x14ac:dyDescent="0.2">
      <c r="B421" s="47" t="s">
        <v>420</v>
      </c>
      <c r="C421" s="1376">
        <f>'7. Energy'!F65</f>
        <v>0</v>
      </c>
      <c r="D421" s="1376"/>
      <c r="E421" s="1376"/>
      <c r="F421" s="257" t="s">
        <v>421</v>
      </c>
      <c r="G421" s="1376">
        <f>'1. Instructions'!E39</f>
        <v>0</v>
      </c>
      <c r="H421" s="1376"/>
      <c r="I421" s="30"/>
      <c r="J421" s="30"/>
      <c r="K421" s="13"/>
      <c r="L421" s="13"/>
    </row>
    <row r="422" spans="2:12" x14ac:dyDescent="0.2">
      <c r="B422" s="47" t="s">
        <v>421</v>
      </c>
      <c r="C422" s="1376">
        <f>'7. Energy'!F66</f>
        <v>0</v>
      </c>
      <c r="D422" s="1376"/>
      <c r="E422" s="1376"/>
      <c r="F422" s="257" t="s">
        <v>422</v>
      </c>
      <c r="G422" s="1376">
        <f>'1. Instructions'!E40</f>
        <v>0</v>
      </c>
      <c r="H422" s="1376"/>
      <c r="I422" s="30"/>
      <c r="J422" s="30"/>
      <c r="K422" s="27"/>
      <c r="L422" s="27"/>
    </row>
    <row r="423" spans="2:12" x14ac:dyDescent="0.2">
      <c r="B423" s="47" t="s">
        <v>422</v>
      </c>
      <c r="C423" s="1376">
        <f>'7. Energy'!F67</f>
        <v>0</v>
      </c>
      <c r="D423" s="1376"/>
      <c r="E423" s="1376"/>
      <c r="F423" s="257" t="s">
        <v>423</v>
      </c>
      <c r="G423" s="1376">
        <f>'1. Instructions'!E41</f>
        <v>0</v>
      </c>
      <c r="H423" s="1376"/>
      <c r="I423" s="30"/>
      <c r="J423" s="30"/>
      <c r="K423" s="27"/>
      <c r="L423" s="27"/>
    </row>
    <row r="424" spans="2:12" x14ac:dyDescent="0.2">
      <c r="B424" s="47" t="s">
        <v>423</v>
      </c>
      <c r="C424" s="1376">
        <f>'1. Instructions'!B40</f>
        <v>0</v>
      </c>
      <c r="D424" s="1376"/>
      <c r="E424" s="1376"/>
      <c r="F424" s="258"/>
      <c r="G424" s="259"/>
      <c r="H424" s="260"/>
      <c r="I424" s="30"/>
      <c r="J424" s="30"/>
      <c r="K424" s="27"/>
      <c r="L424" s="27"/>
    </row>
    <row r="425" spans="2:12" x14ac:dyDescent="0.2">
      <c r="B425" s="47"/>
      <c r="C425" s="259"/>
      <c r="D425" s="259"/>
      <c r="E425" s="259"/>
      <c r="F425" s="259"/>
      <c r="G425" s="259"/>
      <c r="H425" s="260"/>
      <c r="I425" s="72"/>
      <c r="J425" s="72"/>
      <c r="K425" s="27"/>
      <c r="L425" s="27"/>
    </row>
    <row r="426" spans="2:12" x14ac:dyDescent="0.2">
      <c r="B426" s="47"/>
      <c r="C426" s="261" t="s">
        <v>125</v>
      </c>
      <c r="D426" s="261"/>
      <c r="E426" s="261"/>
      <c r="F426" s="259"/>
      <c r="G426" s="259"/>
      <c r="H426" s="260"/>
      <c r="I426" s="72"/>
      <c r="J426" s="72"/>
      <c r="K426" s="27"/>
      <c r="L426" s="27"/>
    </row>
    <row r="427" spans="2:12" x14ac:dyDescent="0.2">
      <c r="B427" s="47" t="s">
        <v>417</v>
      </c>
      <c r="C427" s="1381" t="e">
        <f>'1. Instructions'!#REF!</f>
        <v>#REF!</v>
      </c>
      <c r="D427" s="1381"/>
      <c r="E427" s="1381"/>
      <c r="F427" s="1380" t="s">
        <v>424</v>
      </c>
      <c r="G427" s="1380"/>
      <c r="H427" s="1380"/>
      <c r="I427" s="72"/>
      <c r="J427" s="63"/>
      <c r="K427" s="21"/>
      <c r="L427" s="21"/>
    </row>
    <row r="428" spans="2:12" x14ac:dyDescent="0.2">
      <c r="B428" s="47" t="s">
        <v>418</v>
      </c>
      <c r="C428" s="1383">
        <f>'1. Instructions'!B53</f>
        <v>0</v>
      </c>
      <c r="D428" s="1383"/>
      <c r="E428" s="1383"/>
      <c r="F428" s="1380" t="s">
        <v>525</v>
      </c>
      <c r="G428" s="1380"/>
      <c r="H428" s="1380"/>
      <c r="I428" s="47"/>
      <c r="J428" s="47"/>
      <c r="K428" s="13"/>
      <c r="L428" s="13"/>
    </row>
    <row r="429" spans="2:12" x14ac:dyDescent="0.2">
      <c r="B429" s="47" t="s">
        <v>419</v>
      </c>
      <c r="C429" s="1376">
        <f>'1. Instructions'!B54</f>
        <v>0</v>
      </c>
      <c r="D429" s="1376"/>
      <c r="E429" s="1376"/>
      <c r="F429" s="1380" t="s">
        <v>425</v>
      </c>
      <c r="G429" s="1380"/>
      <c r="H429" s="1380"/>
      <c r="I429" s="72"/>
      <c r="J429" s="63"/>
      <c r="K429" s="21"/>
      <c r="L429" s="21"/>
    </row>
    <row r="430" spans="2:12" x14ac:dyDescent="0.2">
      <c r="B430" s="47" t="s">
        <v>420</v>
      </c>
      <c r="C430" s="1376">
        <f>'1. Instructions'!B55</f>
        <v>0</v>
      </c>
      <c r="D430" s="1376"/>
      <c r="E430" s="1376"/>
      <c r="F430" s="12" t="s">
        <v>426</v>
      </c>
      <c r="G430" s="1378" t="e">
        <f>'1. Instructions'!#REF!</f>
        <v>#REF!</v>
      </c>
      <c r="H430" s="1378"/>
      <c r="I430" s="72"/>
      <c r="J430" s="63"/>
      <c r="K430" s="21"/>
      <c r="L430" s="21"/>
    </row>
    <row r="431" spans="2:12" x14ac:dyDescent="0.2">
      <c r="B431" s="47" t="s">
        <v>421</v>
      </c>
      <c r="C431" s="1376" t="e">
        <f>'1. Instructions'!#REF!</f>
        <v>#REF!</v>
      </c>
      <c r="D431" s="1376"/>
      <c r="E431" s="1376"/>
      <c r="F431" s="12" t="s">
        <v>427</v>
      </c>
      <c r="G431" s="1377" t="e">
        <f>'1. Instructions'!#REF!</f>
        <v>#REF!</v>
      </c>
      <c r="H431" s="1377"/>
      <c r="I431" s="63"/>
      <c r="J431" s="63"/>
      <c r="K431" s="21"/>
      <c r="L431" s="21"/>
    </row>
    <row r="432" spans="2:12" x14ac:dyDescent="0.2">
      <c r="B432" s="47" t="s">
        <v>422</v>
      </c>
      <c r="C432" s="1376" t="e">
        <f>'1. Instructions'!#REF!</f>
        <v>#REF!</v>
      </c>
      <c r="D432" s="1376"/>
      <c r="E432" s="1376"/>
      <c r="F432" s="257" t="s">
        <v>428</v>
      </c>
      <c r="G432" s="1376" t="e">
        <f>'1. Instructions'!#REF!</f>
        <v>#REF!</v>
      </c>
      <c r="H432" s="1376"/>
      <c r="I432" s="47"/>
      <c r="J432" s="47"/>
      <c r="K432" s="13"/>
      <c r="L432" s="13"/>
    </row>
    <row r="433" spans="2:8" x14ac:dyDescent="0.2">
      <c r="B433" s="47" t="s">
        <v>423</v>
      </c>
      <c r="C433" s="1376" t="e">
        <f>'1. Instructions'!#REF!</f>
        <v>#REF!</v>
      </c>
      <c r="D433" s="1376"/>
      <c r="E433" s="1376"/>
      <c r="F433" s="257" t="s">
        <v>429</v>
      </c>
      <c r="G433" s="1376" t="e">
        <f>'1. Instructions'!#REF!</f>
        <v>#REF!</v>
      </c>
      <c r="H433" s="1376"/>
    </row>
    <row r="434" spans="2:8" x14ac:dyDescent="0.2">
      <c r="B434" s="47"/>
      <c r="C434" s="175"/>
      <c r="D434" s="175"/>
      <c r="E434" s="175"/>
      <c r="F434" s="175"/>
      <c r="G434" s="175"/>
      <c r="H434" s="72"/>
    </row>
    <row r="435" spans="2:8" x14ac:dyDescent="0.2">
      <c r="B435" s="47"/>
      <c r="C435" s="175"/>
      <c r="D435" s="175"/>
      <c r="E435" s="175"/>
      <c r="F435" s="175"/>
      <c r="G435" s="175"/>
      <c r="H435" s="56"/>
    </row>
    <row r="436" spans="2:8" x14ac:dyDescent="0.2">
      <c r="B436" s="47"/>
      <c r="C436" s="168"/>
      <c r="D436" s="47"/>
      <c r="E436" s="47"/>
      <c r="F436" s="47"/>
      <c r="G436" s="47"/>
      <c r="H436" s="72"/>
    </row>
    <row r="437" spans="2:8" x14ac:dyDescent="0.2">
      <c r="B437" s="47"/>
      <c r="C437" s="168"/>
      <c r="D437" s="47"/>
      <c r="E437" s="47"/>
      <c r="F437" s="47"/>
      <c r="G437" s="47"/>
      <c r="H437" s="72"/>
    </row>
    <row r="438" spans="2:8" x14ac:dyDescent="0.2">
      <c r="B438" s="47"/>
      <c r="C438" s="168"/>
      <c r="D438" s="47"/>
      <c r="E438" s="47"/>
      <c r="F438" s="47"/>
      <c r="G438" s="47"/>
      <c r="H438" s="45"/>
    </row>
    <row r="439" spans="2:8" x14ac:dyDescent="0.2">
      <c r="B439" s="47"/>
      <c r="C439" s="47"/>
      <c r="D439" s="47"/>
      <c r="E439" s="47"/>
      <c r="F439" s="47"/>
      <c r="G439" s="47"/>
      <c r="H439" s="47"/>
    </row>
  </sheetData>
  <mergeCells count="133">
    <mergeCell ref="D145:G145"/>
    <mergeCell ref="D146:H146"/>
    <mergeCell ref="B139:G139"/>
    <mergeCell ref="D162:F162"/>
    <mergeCell ref="B154:D154"/>
    <mergeCell ref="D292:E292"/>
    <mergeCell ref="B107:D107"/>
    <mergeCell ref="B95:C95"/>
    <mergeCell ref="D90:F90"/>
    <mergeCell ref="D92:E92"/>
    <mergeCell ref="D93:F93"/>
    <mergeCell ref="D94:F94"/>
    <mergeCell ref="E136:H136"/>
    <mergeCell ref="D148:H148"/>
    <mergeCell ref="D149:E149"/>
    <mergeCell ref="E154:H154"/>
    <mergeCell ref="B237:D237"/>
    <mergeCell ref="D142:H142"/>
    <mergeCell ref="D163:G163"/>
    <mergeCell ref="D164:G164"/>
    <mergeCell ref="B156:H156"/>
    <mergeCell ref="B184:H184"/>
    <mergeCell ref="D249:F249"/>
    <mergeCell ref="D248:H248"/>
    <mergeCell ref="D8:G8"/>
    <mergeCell ref="D10:F10"/>
    <mergeCell ref="B85:G85"/>
    <mergeCell ref="B87:C87"/>
    <mergeCell ref="D12:F12"/>
    <mergeCell ref="D11:F11"/>
    <mergeCell ref="D16:H16"/>
    <mergeCell ref="C20:G20"/>
    <mergeCell ref="B38:H38"/>
    <mergeCell ref="B39:H39"/>
    <mergeCell ref="B409:E409"/>
    <mergeCell ref="B408:E408"/>
    <mergeCell ref="B394:C394"/>
    <mergeCell ref="G409:H409"/>
    <mergeCell ref="B404:H404"/>
    <mergeCell ref="D9:E9"/>
    <mergeCell ref="B81:D81"/>
    <mergeCell ref="B82:D82"/>
    <mergeCell ref="D89:F89"/>
    <mergeCell ref="D296:G296"/>
    <mergeCell ref="D293:G293"/>
    <mergeCell ref="D108:H108"/>
    <mergeCell ref="B134:D134"/>
    <mergeCell ref="D150:E150"/>
    <mergeCell ref="D250:F250"/>
    <mergeCell ref="D147:H147"/>
    <mergeCell ref="D251:F251"/>
    <mergeCell ref="B135:D135"/>
    <mergeCell ref="B136:D136"/>
    <mergeCell ref="E237:H237"/>
    <mergeCell ref="B137:H137"/>
    <mergeCell ref="E129:H129"/>
    <mergeCell ref="D294:H294"/>
    <mergeCell ref="D144:G144"/>
    <mergeCell ref="B415:D415"/>
    <mergeCell ref="C422:E422"/>
    <mergeCell ref="C420:E420"/>
    <mergeCell ref="B413:D413"/>
    <mergeCell ref="C419:E419"/>
    <mergeCell ref="C418:E418"/>
    <mergeCell ref="G410:H410"/>
    <mergeCell ref="G411:H411"/>
    <mergeCell ref="G419:H419"/>
    <mergeCell ref="G418:H418"/>
    <mergeCell ref="B414:D414"/>
    <mergeCell ref="B410:E410"/>
    <mergeCell ref="G433:H433"/>
    <mergeCell ref="G432:H432"/>
    <mergeCell ref="G431:H431"/>
    <mergeCell ref="G430:H430"/>
    <mergeCell ref="G423:H423"/>
    <mergeCell ref="B301:E301"/>
    <mergeCell ref="C423:E423"/>
    <mergeCell ref="C433:E433"/>
    <mergeCell ref="C432:E432"/>
    <mergeCell ref="C431:E431"/>
    <mergeCell ref="F428:H428"/>
    <mergeCell ref="F427:H427"/>
    <mergeCell ref="C427:E427"/>
    <mergeCell ref="C424:E424"/>
    <mergeCell ref="C430:E430"/>
    <mergeCell ref="C429:E429"/>
    <mergeCell ref="F429:H429"/>
    <mergeCell ref="D401:G401"/>
    <mergeCell ref="C428:E428"/>
    <mergeCell ref="D345:G345"/>
    <mergeCell ref="G422:H422"/>
    <mergeCell ref="G421:H421"/>
    <mergeCell ref="C421:E421"/>
    <mergeCell ref="G420:H420"/>
    <mergeCell ref="B158:G158"/>
    <mergeCell ref="D161:F161"/>
    <mergeCell ref="B286:D286"/>
    <mergeCell ref="B182:D182"/>
    <mergeCell ref="D299:H299"/>
    <mergeCell ref="D244:H244"/>
    <mergeCell ref="D247:H247"/>
    <mergeCell ref="D234:F234"/>
    <mergeCell ref="C236:G236"/>
    <mergeCell ref="D246:H246"/>
    <mergeCell ref="D243:G243"/>
    <mergeCell ref="B289:G289"/>
    <mergeCell ref="D297:H297"/>
    <mergeCell ref="D298:G298"/>
    <mergeCell ref="B242:C242"/>
    <mergeCell ref="B186:G186"/>
    <mergeCell ref="B187:C187"/>
    <mergeCell ref="D188:H188"/>
    <mergeCell ref="D245:F245"/>
    <mergeCell ref="B238:H238"/>
    <mergeCell ref="D295:H295"/>
    <mergeCell ref="B240:G240"/>
    <mergeCell ref="D252:H252"/>
    <mergeCell ref="D300:H300"/>
    <mergeCell ref="B395:C395"/>
    <mergeCell ref="B336:H336"/>
    <mergeCell ref="B335:D335"/>
    <mergeCell ref="E327:H328"/>
    <mergeCell ref="B398:C398"/>
    <mergeCell ref="B397:D397"/>
    <mergeCell ref="B391:C391"/>
    <mergeCell ref="B392:C392"/>
    <mergeCell ref="B338:G338"/>
    <mergeCell ref="B342:C342"/>
    <mergeCell ref="D343:G343"/>
    <mergeCell ref="D344:E344"/>
    <mergeCell ref="D347:G347"/>
    <mergeCell ref="B387:H387"/>
    <mergeCell ref="B368:D368"/>
  </mergeCells>
  <phoneticPr fontId="13" type="noConversion"/>
  <conditionalFormatting sqref="C402">
    <cfRule type="containsText" dxfId="185" priority="5" stopIfTrue="1" operator="containsText" text="Failed">
      <formula>NOT(ISERROR(SEARCH("Failed",C402)))</formula>
    </cfRule>
  </conditionalFormatting>
  <conditionalFormatting sqref="E402">
    <cfRule type="containsText" dxfId="184" priority="4" stopIfTrue="1" operator="containsText" text="Silver">
      <formula>NOT(ISERROR(SEARCH("Silver",E402)))</formula>
    </cfRule>
  </conditionalFormatting>
  <conditionalFormatting sqref="D402">
    <cfRule type="containsText" dxfId="183" priority="3" stopIfTrue="1" operator="containsText" text="Bronze">
      <formula>NOT(ISERROR(SEARCH("Bronze",D402)))</formula>
    </cfRule>
  </conditionalFormatting>
  <conditionalFormatting sqref="F402">
    <cfRule type="containsText" dxfId="182" priority="2" stopIfTrue="1" operator="containsText" text="Gold">
      <formula>NOT(ISERROR(SEARCH("Gold",F402)))</formula>
    </cfRule>
  </conditionalFormatting>
  <conditionalFormatting sqref="G402">
    <cfRule type="containsText" dxfId="181" priority="1" stopIfTrue="1" operator="containsText" text="Platinum">
      <formula>NOT(ISERROR(SEARCH("Platinum",G402)))</formula>
    </cfRule>
  </conditionalFormatting>
  <pageMargins left="0.7" right="0.7" top="0.5" bottom="0.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V45"/>
  <sheetViews>
    <sheetView topLeftCell="A21" zoomScale="70" zoomScaleNormal="70" zoomScalePageLayoutView="70" workbookViewId="0">
      <selection activeCell="E22" sqref="E22:I22"/>
    </sheetView>
  </sheetViews>
  <sheetFormatPr baseColWidth="10" defaultColWidth="8.6640625" defaultRowHeight="15" x14ac:dyDescent="0.2"/>
  <cols>
    <col min="1" max="1" width="2.6640625" customWidth="1"/>
    <col min="4" max="4" width="11.33203125" customWidth="1"/>
    <col min="5" max="5" width="12.6640625" customWidth="1"/>
    <col min="6" max="6" width="13" customWidth="1"/>
    <col min="7" max="7" width="14.6640625" customWidth="1"/>
    <col min="8" max="8" width="11.6640625" customWidth="1"/>
    <col min="9" max="9" width="13.33203125" customWidth="1"/>
    <col min="12" max="12" width="8.6640625" style="14"/>
    <col min="13" max="18" width="8.6640625" style="262"/>
    <col min="19" max="22" width="8.6640625" style="14"/>
  </cols>
  <sheetData>
    <row r="2" spans="2:17" ht="19" x14ac:dyDescent="0.25">
      <c r="C2" s="1407" t="s">
        <v>0</v>
      </c>
      <c r="D2" s="1407"/>
      <c r="E2" s="1407"/>
      <c r="F2" s="1407"/>
      <c r="G2" s="1407"/>
      <c r="H2" s="1407"/>
      <c r="I2" s="1407"/>
      <c r="J2" s="1407"/>
      <c r="K2" s="1407"/>
      <c r="L2" s="1407"/>
      <c r="N2" s="263">
        <f>IF('7. Energy'!B51&lt;30,30-'7. Energy'!B51,0)</f>
        <v>0</v>
      </c>
      <c r="O2" s="263">
        <f>IF('9. Lot Choice'!B43&lt;0,0-'9. Lot Choice'!B43,0)</f>
        <v>0</v>
      </c>
      <c r="P2" s="263">
        <f>IF('11. Health'!B60&lt;15,15-'11. Health'!B60,0)</f>
        <v>0</v>
      </c>
      <c r="Q2" s="263">
        <f>IF('13. Disaster Mitigation'!B58&lt;5,5-'13. Disaster Mitigation'!B58,0)</f>
        <v>0</v>
      </c>
    </row>
    <row r="3" spans="2:17" x14ac:dyDescent="0.2">
      <c r="N3" s="263">
        <f>IF('8. Water'!B64&lt;15,15-'8. Water'!B64,0)</f>
        <v>3</v>
      </c>
      <c r="O3" s="263">
        <f>IF('10. Site'!B38&lt;5,5-'10. Site'!B38,0)</f>
        <v>1</v>
      </c>
      <c r="P3" s="263">
        <f>IF('12. Materials'!B55&lt;10,10-'12. Materials'!B55,0)</f>
        <v>2</v>
      </c>
      <c r="Q3" s="263">
        <f>IF('14. General'!B43&lt;0,0-'14. General'!B42,0)</f>
        <v>0</v>
      </c>
    </row>
    <row r="4" spans="2:17" ht="42" customHeight="1" x14ac:dyDescent="0.2">
      <c r="B4" s="4"/>
      <c r="C4" s="4"/>
      <c r="D4" s="33" t="s">
        <v>1</v>
      </c>
      <c r="E4" s="34"/>
      <c r="F4" s="4"/>
      <c r="G4" s="33" t="s">
        <v>2</v>
      </c>
      <c r="H4" s="35"/>
      <c r="I4" s="4"/>
      <c r="J4" s="33" t="s">
        <v>3</v>
      </c>
      <c r="K4" s="4"/>
    </row>
    <row r="5" spans="2:17" x14ac:dyDescent="0.2">
      <c r="B5" s="4"/>
      <c r="C5" s="4"/>
      <c r="D5" s="33">
        <f>100+N2+N3+O2+O3+P2+P3+Q2+Q3</f>
        <v>106</v>
      </c>
      <c r="E5" s="34"/>
      <c r="F5" s="4"/>
      <c r="G5" s="33">
        <f>G18</f>
        <v>99</v>
      </c>
      <c r="H5" s="35"/>
      <c r="I5" s="4"/>
      <c r="J5" s="33">
        <f>'7. Energy'!B49+'8. Water'!B62+'9. Lot Choice'!B41+'10. Site'!B36+'11. Health'!B58+'12. Materials'!B53+'13. Disaster Mitigation'!B56+'14. General'!B40</f>
        <v>99</v>
      </c>
      <c r="K5" s="4"/>
    </row>
    <row r="6" spans="2:17" x14ac:dyDescent="0.2">
      <c r="B6" s="4"/>
      <c r="C6" s="36"/>
      <c r="D6" s="4"/>
      <c r="E6" s="4"/>
      <c r="F6" s="37"/>
      <c r="G6" s="4"/>
      <c r="H6" s="4"/>
      <c r="I6" s="35"/>
      <c r="J6" s="4"/>
      <c r="K6" s="4"/>
    </row>
    <row r="7" spans="2:17" x14ac:dyDescent="0.2">
      <c r="B7" s="1408" t="s">
        <v>127</v>
      </c>
      <c r="C7" s="1409"/>
      <c r="D7" s="1409"/>
      <c r="E7" s="1409"/>
      <c r="F7" s="1409"/>
      <c r="G7" s="1409"/>
      <c r="H7" s="1409"/>
      <c r="I7" s="1409"/>
      <c r="J7" s="1409"/>
      <c r="K7" s="1409"/>
      <c r="L7" s="1410"/>
    </row>
    <row r="8" spans="2:17" x14ac:dyDescent="0.2">
      <c r="B8" s="4"/>
      <c r="C8" s="38"/>
      <c r="D8" s="4"/>
      <c r="E8" s="4"/>
      <c r="F8" s="4"/>
      <c r="G8" s="4"/>
      <c r="H8" s="4"/>
      <c r="I8" s="4"/>
      <c r="J8" s="4"/>
      <c r="K8" s="4"/>
    </row>
    <row r="9" spans="2:17" x14ac:dyDescent="0.2">
      <c r="B9" s="39" t="s">
        <v>128</v>
      </c>
      <c r="C9" s="4"/>
      <c r="D9" s="4"/>
      <c r="E9" s="4"/>
      <c r="F9" s="4"/>
      <c r="G9" s="40" t="s">
        <v>129</v>
      </c>
      <c r="H9" s="4"/>
      <c r="I9" s="30"/>
      <c r="J9" s="41"/>
      <c r="K9" s="42" t="s">
        <v>130</v>
      </c>
      <c r="L9" s="270"/>
    </row>
    <row r="10" spans="2:17" x14ac:dyDescent="0.2">
      <c r="B10" s="1404" t="s">
        <v>131</v>
      </c>
      <c r="C10" s="1404"/>
      <c r="D10" s="4"/>
      <c r="E10" s="4"/>
      <c r="F10" s="4"/>
      <c r="G10" s="44">
        <f>'7. Energy'!B51</f>
        <v>43</v>
      </c>
      <c r="H10" s="4"/>
      <c r="I10" s="4"/>
      <c r="J10" s="1406" t="s">
        <v>132</v>
      </c>
      <c r="K10" s="1406"/>
      <c r="L10" s="1406"/>
    </row>
    <row r="11" spans="2:17" x14ac:dyDescent="0.2">
      <c r="B11" s="1404" t="s">
        <v>133</v>
      </c>
      <c r="C11" s="1404"/>
      <c r="D11" s="4"/>
      <c r="E11" s="4"/>
      <c r="F11" s="4"/>
      <c r="G11" s="44">
        <f>'8. Water'!B64</f>
        <v>12</v>
      </c>
      <c r="H11" s="4"/>
      <c r="I11" s="4"/>
      <c r="J11" s="1406" t="s">
        <v>134</v>
      </c>
      <c r="K11" s="1406"/>
      <c r="L11" s="1406"/>
    </row>
    <row r="12" spans="2:17" x14ac:dyDescent="0.2">
      <c r="B12" s="1404" t="s">
        <v>135</v>
      </c>
      <c r="C12" s="1404"/>
      <c r="D12" s="1404"/>
      <c r="E12" s="4"/>
      <c r="F12" s="4"/>
      <c r="G12" s="44">
        <f>'9. Lot Choice'!B43</f>
        <v>0</v>
      </c>
      <c r="H12" s="4"/>
      <c r="I12" s="4"/>
      <c r="J12" s="1406" t="s">
        <v>136</v>
      </c>
      <c r="K12" s="1406"/>
      <c r="L12" s="1406"/>
    </row>
    <row r="13" spans="2:17" x14ac:dyDescent="0.2">
      <c r="B13" s="1404" t="s">
        <v>137</v>
      </c>
      <c r="C13" s="1404"/>
      <c r="D13" s="4"/>
      <c r="E13" s="4"/>
      <c r="F13" s="4"/>
      <c r="G13" s="44">
        <f>'10. Site'!B38</f>
        <v>4</v>
      </c>
      <c r="H13" s="4"/>
      <c r="I13" s="4"/>
      <c r="J13" s="1405" t="s">
        <v>138</v>
      </c>
      <c r="K13" s="1405"/>
      <c r="L13" s="1405"/>
      <c r="O13" s="262" t="s">
        <v>235</v>
      </c>
    </row>
    <row r="14" spans="2:17" x14ac:dyDescent="0.2">
      <c r="B14" s="1404" t="s">
        <v>139</v>
      </c>
      <c r="C14" s="1404"/>
      <c r="D14" s="4"/>
      <c r="E14" s="4"/>
      <c r="F14" s="4"/>
      <c r="G14" s="44">
        <f>'11. Health'!B60</f>
        <v>22</v>
      </c>
      <c r="H14" s="4"/>
      <c r="I14" s="4"/>
      <c r="J14" s="1406" t="s">
        <v>140</v>
      </c>
      <c r="K14" s="1406"/>
      <c r="L14" s="1406"/>
    </row>
    <row r="15" spans="2:17" x14ac:dyDescent="0.2">
      <c r="B15" s="1404" t="s">
        <v>141</v>
      </c>
      <c r="C15" s="1404"/>
      <c r="D15" s="4"/>
      <c r="E15" s="4"/>
      <c r="F15" s="4"/>
      <c r="G15" s="44">
        <f>'12. Materials'!B55</f>
        <v>8</v>
      </c>
      <c r="H15" s="4"/>
      <c r="I15" s="4"/>
      <c r="J15" s="1405" t="s">
        <v>142</v>
      </c>
      <c r="K15" s="1405"/>
      <c r="L15" s="1405"/>
      <c r="O15" s="262" t="s">
        <v>236</v>
      </c>
    </row>
    <row r="16" spans="2:17" x14ac:dyDescent="0.2">
      <c r="B16" s="1404" t="s">
        <v>143</v>
      </c>
      <c r="C16" s="1404"/>
      <c r="D16" s="1404"/>
      <c r="E16" s="4"/>
      <c r="F16" s="4"/>
      <c r="G16" s="44">
        <f>'13. Disaster Mitigation'!B58</f>
        <v>5</v>
      </c>
      <c r="H16" s="4"/>
      <c r="I16" s="4"/>
      <c r="J16" s="1405" t="s">
        <v>138</v>
      </c>
      <c r="K16" s="1405"/>
      <c r="L16" s="1405"/>
      <c r="O16" s="262" t="s">
        <v>237</v>
      </c>
    </row>
    <row r="17" spans="2:19" x14ac:dyDescent="0.2">
      <c r="B17" s="1404" t="s">
        <v>144</v>
      </c>
      <c r="C17" s="1404"/>
      <c r="D17" s="4"/>
      <c r="E17" s="4"/>
      <c r="F17" s="4"/>
      <c r="G17" s="44">
        <f>'14. General'!B42</f>
        <v>5</v>
      </c>
      <c r="H17" s="4"/>
      <c r="I17" s="4"/>
      <c r="J17" s="1406" t="s">
        <v>145</v>
      </c>
      <c r="K17" s="1406"/>
      <c r="L17" s="1406"/>
      <c r="O17" s="262" t="s">
        <v>238</v>
      </c>
    </row>
    <row r="18" spans="2:19" x14ac:dyDescent="0.2">
      <c r="B18" s="4"/>
      <c r="C18" s="38"/>
      <c r="D18" s="4"/>
      <c r="E18" s="4"/>
      <c r="F18" s="45" t="s">
        <v>146</v>
      </c>
      <c r="G18" s="46">
        <f>SUM(G10:G17)</f>
        <v>99</v>
      </c>
      <c r="H18" s="4"/>
      <c r="I18" s="4"/>
      <c r="J18" s="77"/>
      <c r="K18" s="77"/>
      <c r="L18" s="249"/>
      <c r="O18" s="262" t="s">
        <v>239</v>
      </c>
    </row>
    <row r="19" spans="2:19" x14ac:dyDescent="0.2">
      <c r="B19" s="4"/>
      <c r="C19" s="38"/>
      <c r="D19" s="4"/>
      <c r="E19" s="1402" t="s">
        <v>147</v>
      </c>
      <c r="F19" s="1402"/>
      <c r="G19" s="46">
        <f>D5</f>
        <v>106</v>
      </c>
      <c r="H19" s="4"/>
      <c r="I19" s="4"/>
      <c r="J19" s="4"/>
      <c r="K19" s="4"/>
    </row>
    <row r="20" spans="2:19" x14ac:dyDescent="0.2">
      <c r="C20" s="3"/>
      <c r="E20" s="5"/>
      <c r="F20" s="5"/>
      <c r="G20" s="6"/>
    </row>
    <row r="21" spans="2:19" x14ac:dyDescent="0.2">
      <c r="F21" s="1403" t="s">
        <v>4</v>
      </c>
      <c r="G21" s="1403"/>
      <c r="H21" s="1403"/>
      <c r="O21" s="262">
        <f>(G18-G19)</f>
        <v>-7</v>
      </c>
    </row>
    <row r="22" spans="2:19" ht="23.25" customHeight="1" x14ac:dyDescent="0.2">
      <c r="E22" s="307" t="s">
        <v>235</v>
      </c>
      <c r="F22" s="9" t="s">
        <v>821</v>
      </c>
      <c r="G22" s="216" t="s">
        <v>821</v>
      </c>
      <c r="H22" s="216" t="s">
        <v>821</v>
      </c>
      <c r="I22" s="216" t="s">
        <v>821</v>
      </c>
    </row>
    <row r="23" spans="2:19" x14ac:dyDescent="0.2">
      <c r="O23" s="264"/>
    </row>
    <row r="24" spans="2:19" x14ac:dyDescent="0.2">
      <c r="C24" s="1"/>
      <c r="D24" s="1"/>
      <c r="F24" s="14"/>
    </row>
    <row r="27" spans="2:19" x14ac:dyDescent="0.2">
      <c r="O27" s="265"/>
      <c r="P27" s="265"/>
      <c r="Q27" s="265"/>
      <c r="R27" s="265"/>
      <c r="S27" s="265"/>
    </row>
    <row r="28" spans="2:19" x14ac:dyDescent="0.2">
      <c r="O28" s="265"/>
      <c r="P28" s="265"/>
      <c r="Q28" s="265"/>
      <c r="R28" s="265"/>
      <c r="S28" s="265"/>
    </row>
    <row r="29" spans="2:19" x14ac:dyDescent="0.2">
      <c r="O29" s="265"/>
      <c r="P29" s="265"/>
      <c r="Q29" s="265"/>
      <c r="R29" s="265"/>
      <c r="S29" s="265"/>
    </row>
    <row r="30" spans="2:19" x14ac:dyDescent="0.2">
      <c r="O30" s="265"/>
      <c r="P30" s="265"/>
      <c r="Q30" s="265"/>
      <c r="R30" s="265"/>
      <c r="S30" s="265"/>
    </row>
    <row r="31" spans="2:19" x14ac:dyDescent="0.2">
      <c r="O31" s="265"/>
      <c r="P31" s="265"/>
      <c r="Q31" s="265"/>
      <c r="R31" s="265"/>
      <c r="S31" s="265"/>
    </row>
    <row r="32" spans="2:19" x14ac:dyDescent="0.2">
      <c r="O32" s="265"/>
      <c r="P32" s="265"/>
      <c r="Q32" s="265"/>
      <c r="R32" s="265"/>
      <c r="S32" s="265"/>
    </row>
    <row r="33" spans="15:22" x14ac:dyDescent="0.2">
      <c r="O33" s="266" t="s">
        <v>128</v>
      </c>
      <c r="P33" s="266" t="s">
        <v>223</v>
      </c>
      <c r="Q33" s="266" t="s">
        <v>224</v>
      </c>
      <c r="R33" s="266" t="s">
        <v>225</v>
      </c>
      <c r="S33" s="267"/>
      <c r="T33" s="265"/>
      <c r="U33" s="265"/>
    </row>
    <row r="34" spans="15:22" x14ac:dyDescent="0.2">
      <c r="O34" s="266" t="s">
        <v>226</v>
      </c>
      <c r="P34" s="268">
        <v>30</v>
      </c>
      <c r="Q34" s="268">
        <f t="shared" ref="Q34:Q42" si="0">G10</f>
        <v>43</v>
      </c>
      <c r="R34" s="268">
        <v>75</v>
      </c>
      <c r="S34" s="266"/>
      <c r="T34" s="265"/>
      <c r="U34" s="265"/>
      <c r="V34" s="265"/>
    </row>
    <row r="35" spans="15:22" x14ac:dyDescent="0.2">
      <c r="O35" s="266" t="s">
        <v>227</v>
      </c>
      <c r="P35" s="268">
        <v>15</v>
      </c>
      <c r="Q35" s="268">
        <f t="shared" si="0"/>
        <v>12</v>
      </c>
      <c r="R35" s="268">
        <v>40</v>
      </c>
      <c r="S35" s="7"/>
      <c r="T35" s="265"/>
      <c r="U35" s="265"/>
      <c r="V35" s="265"/>
    </row>
    <row r="36" spans="15:22" x14ac:dyDescent="0.2">
      <c r="O36" s="266" t="s">
        <v>228</v>
      </c>
      <c r="P36" s="268">
        <v>0</v>
      </c>
      <c r="Q36" s="268">
        <f t="shared" si="0"/>
        <v>0</v>
      </c>
      <c r="R36" s="268">
        <v>15</v>
      </c>
      <c r="S36" s="7"/>
      <c r="T36" s="265"/>
      <c r="U36" s="265"/>
      <c r="V36" s="265"/>
    </row>
    <row r="37" spans="15:22" x14ac:dyDescent="0.2">
      <c r="O37" s="266" t="s">
        <v>229</v>
      </c>
      <c r="P37" s="268">
        <v>5</v>
      </c>
      <c r="Q37" s="268">
        <f t="shared" si="0"/>
        <v>4</v>
      </c>
      <c r="R37" s="268">
        <v>30</v>
      </c>
      <c r="S37" s="7"/>
      <c r="T37" s="265"/>
      <c r="U37" s="265"/>
      <c r="V37" s="265"/>
    </row>
    <row r="38" spans="15:22" x14ac:dyDescent="0.2">
      <c r="O38" s="266" t="s">
        <v>230</v>
      </c>
      <c r="P38" s="268">
        <v>15</v>
      </c>
      <c r="Q38" s="268">
        <f t="shared" si="0"/>
        <v>22</v>
      </c>
      <c r="R38" s="268">
        <v>35</v>
      </c>
      <c r="S38" s="7"/>
      <c r="T38" s="265"/>
      <c r="U38" s="265"/>
      <c r="V38" s="265"/>
    </row>
    <row r="39" spans="15:22" x14ac:dyDescent="0.2">
      <c r="O39" s="266" t="s">
        <v>231</v>
      </c>
      <c r="P39" s="268">
        <v>10</v>
      </c>
      <c r="Q39" s="268">
        <f t="shared" si="0"/>
        <v>8</v>
      </c>
      <c r="R39" s="268">
        <v>35</v>
      </c>
      <c r="S39" s="267"/>
      <c r="T39" s="265"/>
      <c r="U39" s="265"/>
      <c r="V39" s="265"/>
    </row>
    <row r="40" spans="15:22" x14ac:dyDescent="0.2">
      <c r="O40" s="266" t="s">
        <v>232</v>
      </c>
      <c r="P40" s="268">
        <v>5</v>
      </c>
      <c r="Q40" s="268">
        <f t="shared" si="0"/>
        <v>5</v>
      </c>
      <c r="R40" s="268">
        <v>30</v>
      </c>
      <c r="S40" s="267"/>
      <c r="T40" s="269"/>
      <c r="U40" s="269"/>
      <c r="V40" s="269"/>
    </row>
    <row r="41" spans="15:22" x14ac:dyDescent="0.2">
      <c r="O41" s="266" t="s">
        <v>233</v>
      </c>
      <c r="P41" s="268">
        <v>0</v>
      </c>
      <c r="Q41" s="268">
        <f t="shared" si="0"/>
        <v>5</v>
      </c>
      <c r="R41" s="268">
        <v>40</v>
      </c>
      <c r="S41" s="7"/>
      <c r="T41" s="269"/>
      <c r="U41" s="269"/>
      <c r="V41" s="248"/>
    </row>
    <row r="42" spans="15:22" x14ac:dyDescent="0.2">
      <c r="O42" s="266" t="s">
        <v>234</v>
      </c>
      <c r="P42" s="268">
        <f>G19</f>
        <v>106</v>
      </c>
      <c r="Q42" s="268">
        <f t="shared" si="0"/>
        <v>99</v>
      </c>
      <c r="R42" s="268">
        <f>SUM(R34:R41)</f>
        <v>300</v>
      </c>
      <c r="S42" s="269"/>
      <c r="T42" s="269"/>
      <c r="U42" s="269"/>
      <c r="V42" s="248"/>
    </row>
    <row r="43" spans="15:22" x14ac:dyDescent="0.2">
      <c r="O43" s="8"/>
      <c r="P43" s="8"/>
      <c r="Q43" s="8"/>
      <c r="R43" s="8"/>
      <c r="S43" s="8"/>
    </row>
    <row r="44" spans="15:22" x14ac:dyDescent="0.2">
      <c r="O44" s="8"/>
      <c r="P44" s="8"/>
      <c r="Q44" s="8"/>
      <c r="R44" s="8"/>
      <c r="S44" s="8"/>
    </row>
    <row r="45" spans="15:22" x14ac:dyDescent="0.2">
      <c r="O45" s="8"/>
      <c r="P45" s="8"/>
      <c r="Q45" s="8"/>
      <c r="R45" s="8"/>
      <c r="S45" s="8"/>
    </row>
  </sheetData>
  <mergeCells count="20">
    <mergeCell ref="C2:L2"/>
    <mergeCell ref="B12:D12"/>
    <mergeCell ref="J12:L12"/>
    <mergeCell ref="B7:L7"/>
    <mergeCell ref="B10:C10"/>
    <mergeCell ref="J10:L10"/>
    <mergeCell ref="B11:C11"/>
    <mergeCell ref="J11:L11"/>
    <mergeCell ref="E19:F19"/>
    <mergeCell ref="F21:H21"/>
    <mergeCell ref="B13:C13"/>
    <mergeCell ref="J13:L13"/>
    <mergeCell ref="B14:C14"/>
    <mergeCell ref="J14:L14"/>
    <mergeCell ref="B15:C15"/>
    <mergeCell ref="J15:L15"/>
    <mergeCell ref="B16:D16"/>
    <mergeCell ref="J16:L16"/>
    <mergeCell ref="B17:C17"/>
    <mergeCell ref="J17:L17"/>
  </mergeCells>
  <phoneticPr fontId="13" type="noConversion"/>
  <conditionalFormatting sqref="O23">
    <cfRule type="cellIs" dxfId="180" priority="1" stopIfTrue="1" operator="equal">
      <formula>$O$15</formula>
    </cfRule>
    <cfRule type="cellIs" dxfId="179" priority="2" stopIfTrue="1" operator="equal">
      <formula>$O$16</formula>
    </cfRule>
    <cfRule type="cellIs" dxfId="178" priority="3" stopIfTrue="1" operator="equal">
      <formula>$O$17</formula>
    </cfRule>
  </conditionalFormatting>
  <conditionalFormatting sqref="E22">
    <cfRule type="cellIs" dxfId="177" priority="4" stopIfTrue="1" operator="equal">
      <formula>$O$13</formula>
    </cfRule>
  </conditionalFormatting>
  <conditionalFormatting sqref="F22">
    <cfRule type="cellIs" dxfId="176" priority="5" stopIfTrue="1" operator="equal">
      <formula>$O$15</formula>
    </cfRule>
  </conditionalFormatting>
  <conditionalFormatting sqref="G22">
    <cfRule type="cellIs" dxfId="175" priority="6" stopIfTrue="1" operator="equal">
      <formula>$O$16</formula>
    </cfRule>
  </conditionalFormatting>
  <conditionalFormatting sqref="H22">
    <cfRule type="cellIs" dxfId="174" priority="7" stopIfTrue="1" operator="equal">
      <formula>$O$17</formula>
    </cfRule>
  </conditionalFormatting>
  <conditionalFormatting sqref="I22">
    <cfRule type="cellIs" dxfId="173" priority="8" stopIfTrue="1" operator="equal">
      <formula>$O$18</formula>
    </cfRule>
  </conditionalFormatting>
  <pageMargins left="0.7" right="0.7" top="0.75" bottom="0.75" header="0.3" footer="0.3"/>
  <pageSetup orientation="portrait"/>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101"/>
  <sheetViews>
    <sheetView tabSelected="1" zoomScale="110" zoomScaleNormal="110" zoomScaleSheetLayoutView="110" zoomScalePageLayoutView="110" workbookViewId="0">
      <selection activeCell="E44" sqref="E44"/>
    </sheetView>
  </sheetViews>
  <sheetFormatPr baseColWidth="10" defaultColWidth="8.6640625" defaultRowHeight="14" x14ac:dyDescent="0.15"/>
  <cols>
    <col min="1" max="1" width="12.6640625" style="367" customWidth="1"/>
    <col min="2" max="2" width="7.6640625" style="367" customWidth="1"/>
    <col min="3" max="3" width="41.6640625" style="367" customWidth="1"/>
    <col min="4" max="4" width="5.6640625" style="367" customWidth="1"/>
    <col min="5" max="5" width="15.1640625" style="367" customWidth="1"/>
    <col min="6" max="6" width="49.5" style="367" customWidth="1"/>
    <col min="7" max="7" width="8.6640625" style="367"/>
    <col min="8" max="8" width="9.1640625" style="367" customWidth="1"/>
    <col min="9" max="10" width="8.6640625" style="367"/>
    <col min="11" max="11" width="16.6640625" style="367" customWidth="1"/>
    <col min="12" max="16384" width="8.6640625" style="367"/>
  </cols>
  <sheetData>
    <row r="1" spans="1:15" s="365" customFormat="1" ht="24" customHeight="1" x14ac:dyDescent="0.35">
      <c r="A1" s="1413" t="s">
        <v>907</v>
      </c>
      <c r="B1" s="1414"/>
      <c r="C1" s="1414"/>
      <c r="D1" s="1414"/>
      <c r="E1" s="1414"/>
      <c r="F1" s="1415"/>
    </row>
    <row r="2" spans="1:15" s="365" customFormat="1" ht="24" customHeight="1" x14ac:dyDescent="0.35">
      <c r="A2" s="1431" t="str">
        <f>'1. Instructions'!B2</f>
        <v>Version 12 Rev 1.0</v>
      </c>
      <c r="B2" s="1432"/>
      <c r="C2" s="1432"/>
      <c r="D2" s="1432"/>
      <c r="E2" s="1432"/>
      <c r="F2" s="1433"/>
      <c r="G2" s="366"/>
      <c r="H2" s="366"/>
      <c r="I2" s="366"/>
      <c r="J2" s="366"/>
    </row>
    <row r="3" spans="1:15" ht="18" x14ac:dyDescent="0.2">
      <c r="A3" s="1416" t="s">
        <v>1010</v>
      </c>
      <c r="B3" s="1417"/>
      <c r="C3" s="1417"/>
      <c r="D3" s="1417"/>
      <c r="E3" s="1417"/>
      <c r="F3" s="1418"/>
    </row>
    <row r="4" spans="1:15" x14ac:dyDescent="0.15">
      <c r="A4" s="1422" t="str">
        <f>'1. Instructions'!$B$4</f>
        <v>Effective January 1, 2021 (Required January 1, 2022)</v>
      </c>
      <c r="B4" s="1423"/>
      <c r="C4" s="1423"/>
      <c r="D4" s="1423"/>
      <c r="E4" s="1423"/>
      <c r="F4" s="1424"/>
    </row>
    <row r="5" spans="1:15" ht="14.25" customHeight="1" x14ac:dyDescent="0.15">
      <c r="A5" s="1419" t="str">
        <f>'1. Instructions'!$B$5</f>
        <v>Revised 4-5-2022</v>
      </c>
      <c r="B5" s="1420"/>
      <c r="C5" s="1420"/>
      <c r="D5" s="1420"/>
      <c r="E5" s="1420"/>
      <c r="F5" s="1421"/>
      <c r="G5" s="368"/>
      <c r="I5" s="309"/>
      <c r="J5" s="309"/>
      <c r="K5" s="309"/>
      <c r="L5" s="309"/>
      <c r="M5" s="309"/>
      <c r="N5" s="309"/>
      <c r="O5" s="309"/>
    </row>
    <row r="6" spans="1:15" ht="14.25" customHeight="1" x14ac:dyDescent="0.15">
      <c r="A6" s="695" t="s">
        <v>535</v>
      </c>
      <c r="B6" s="887"/>
      <c r="C6" s="888"/>
      <c r="D6" s="309"/>
      <c r="E6" s="310"/>
      <c r="F6" s="720"/>
      <c r="G6" s="368"/>
      <c r="I6" s="309"/>
      <c r="J6" s="309"/>
      <c r="K6" s="309"/>
      <c r="L6" s="309"/>
      <c r="M6" s="309"/>
      <c r="N6" s="309"/>
      <c r="O6" s="309"/>
    </row>
    <row r="7" spans="1:15" ht="14.25" customHeight="1" x14ac:dyDescent="0.15">
      <c r="A7" s="695" t="s">
        <v>1011</v>
      </c>
      <c r="B7" s="685"/>
      <c r="C7" s="686"/>
      <c r="D7" s="309"/>
      <c r="E7" s="310"/>
      <c r="F7" s="720"/>
      <c r="G7" s="368"/>
      <c r="I7" s="309"/>
      <c r="J7" s="309"/>
      <c r="K7" s="309"/>
      <c r="L7" s="309"/>
      <c r="M7" s="309"/>
      <c r="N7" s="309"/>
      <c r="O7" s="309"/>
    </row>
    <row r="8" spans="1:15" ht="14.25" customHeight="1" x14ac:dyDescent="0.15">
      <c r="A8" s="1013" t="s">
        <v>1012</v>
      </c>
      <c r="B8" s="308"/>
      <c r="C8" s="309"/>
      <c r="D8" s="309"/>
      <c r="E8" s="310"/>
      <c r="F8" s="720"/>
      <c r="G8" s="368"/>
      <c r="I8" s="309"/>
      <c r="J8" s="309"/>
      <c r="K8" s="309"/>
      <c r="L8" s="309"/>
      <c r="M8" s="309"/>
      <c r="N8" s="309"/>
      <c r="O8" s="309"/>
    </row>
    <row r="9" spans="1:15" ht="15" customHeight="1" x14ac:dyDescent="0.15">
      <c r="A9" s="719" t="s">
        <v>551</v>
      </c>
      <c r="B9" s="308"/>
      <c r="C9" s="309"/>
      <c r="D9" s="309"/>
      <c r="E9" s="310"/>
      <c r="F9" s="720"/>
      <c r="G9" s="368"/>
      <c r="I9" s="309"/>
      <c r="J9" s="309"/>
      <c r="K9" s="309"/>
      <c r="L9" s="309"/>
      <c r="M9" s="309"/>
      <c r="N9" s="309"/>
      <c r="O9" s="309"/>
    </row>
    <row r="10" spans="1:15" ht="30.75" customHeight="1" x14ac:dyDescent="0.2">
      <c r="A10" s="1930" t="s">
        <v>1446</v>
      </c>
      <c r="B10" s="1930"/>
      <c r="C10" s="1930"/>
      <c r="D10" s="1930"/>
      <c r="E10" s="1931"/>
      <c r="F10" s="886" t="s">
        <v>988</v>
      </c>
      <c r="G10" s="368"/>
      <c r="I10" s="309"/>
      <c r="J10" s="309"/>
      <c r="K10" s="309"/>
      <c r="L10" s="309"/>
      <c r="M10" s="309"/>
      <c r="N10" s="309"/>
      <c r="O10" s="309"/>
    </row>
    <row r="11" spans="1:15" ht="15" x14ac:dyDescent="0.2">
      <c r="A11" s="1942" t="s">
        <v>1439</v>
      </c>
      <c r="B11" s="1942"/>
      <c r="C11" s="1942"/>
      <c r="D11" s="1942"/>
      <c r="E11" s="1943"/>
      <c r="F11" s="1943"/>
      <c r="G11" s="368"/>
      <c r="I11" s="309"/>
      <c r="J11" s="309"/>
      <c r="K11" s="309"/>
      <c r="L11" s="309"/>
      <c r="M11" s="309"/>
      <c r="N11" s="309"/>
      <c r="O11" s="309"/>
    </row>
    <row r="12" spans="1:15" ht="14.25" customHeight="1" x14ac:dyDescent="0.2">
      <c r="A12" s="1933"/>
      <c r="B12" s="1934" t="s">
        <v>1440</v>
      </c>
      <c r="C12" s="1935"/>
      <c r="D12" s="1935"/>
      <c r="E12" s="1931"/>
      <c r="F12" s="1932"/>
      <c r="I12" s="309"/>
      <c r="J12" s="309"/>
      <c r="K12" s="309"/>
      <c r="L12" s="309"/>
      <c r="M12" s="309"/>
      <c r="N12" s="309"/>
      <c r="O12" s="309"/>
    </row>
    <row r="13" spans="1:15" ht="14.25" customHeight="1" x14ac:dyDescent="0.2">
      <c r="A13" s="1936" t="s">
        <v>1441</v>
      </c>
      <c r="B13" s="1937"/>
      <c r="C13" s="1937"/>
      <c r="D13" s="1937"/>
      <c r="E13" s="1938"/>
      <c r="F13" s="1932"/>
      <c r="K13" s="1332"/>
      <c r="L13" s="1332"/>
      <c r="M13" s="1332"/>
    </row>
    <row r="14" spans="1:15" ht="14.25" customHeight="1" x14ac:dyDescent="0.2">
      <c r="A14" s="1333" t="s">
        <v>876</v>
      </c>
      <c r="B14" s="1334"/>
      <c r="C14" s="1333"/>
      <c r="D14" s="1334"/>
      <c r="E14" s="1938"/>
      <c r="F14" s="1932"/>
      <c r="K14" s="721"/>
      <c r="L14" s="721"/>
      <c r="M14" s="721"/>
    </row>
    <row r="15" spans="1:15" ht="14.25" customHeight="1" x14ac:dyDescent="0.15">
      <c r="A15" s="669" t="s">
        <v>1008</v>
      </c>
      <c r="C15" s="669"/>
      <c r="E15" s="1932"/>
      <c r="F15" s="1932"/>
      <c r="K15" s="721"/>
      <c r="L15" s="721"/>
      <c r="M15" s="721"/>
    </row>
    <row r="16" spans="1:15" ht="14.25" customHeight="1" x14ac:dyDescent="0.2">
      <c r="A16" s="1939" t="s">
        <v>1442</v>
      </c>
      <c r="B16" s="1940"/>
      <c r="C16" s="1940"/>
      <c r="D16" s="1940"/>
      <c r="E16" s="1940"/>
      <c r="F16" s="1940"/>
      <c r="K16" s="721"/>
      <c r="L16" s="721"/>
      <c r="M16" s="721"/>
    </row>
    <row r="17" spans="1:14" ht="14.25" customHeight="1" x14ac:dyDescent="0.2">
      <c r="A17" s="1944" t="s">
        <v>1443</v>
      </c>
      <c r="B17" s="1945"/>
      <c r="C17" s="1945"/>
      <c r="D17" s="1941"/>
      <c r="E17" s="1941"/>
      <c r="F17" s="1941"/>
      <c r="K17" s="721"/>
      <c r="L17" s="721"/>
      <c r="M17" s="721"/>
    </row>
    <row r="18" spans="1:14" ht="19.5" customHeight="1" x14ac:dyDescent="0.2">
      <c r="A18" s="1944" t="s">
        <v>1444</v>
      </c>
      <c r="B18" s="1945"/>
      <c r="C18" s="1945"/>
      <c r="D18" s="1941"/>
      <c r="E18" s="1941"/>
      <c r="F18" s="1941"/>
    </row>
    <row r="19" spans="1:14" ht="14.25" customHeight="1" x14ac:dyDescent="0.2">
      <c r="A19" s="1944" t="s">
        <v>1445</v>
      </c>
      <c r="B19" s="1945"/>
      <c r="C19" s="1945"/>
      <c r="D19" s="1941"/>
      <c r="E19" s="1941"/>
      <c r="F19" s="1941"/>
      <c r="G19" s="309"/>
    </row>
    <row r="20" spans="1:14" ht="14.25" customHeight="1" x14ac:dyDescent="0.15">
      <c r="A20" s="960" t="s">
        <v>874</v>
      </c>
      <c r="B20" s="309"/>
      <c r="C20" s="309"/>
      <c r="D20" s="311"/>
      <c r="E20" s="723" t="s">
        <v>900</v>
      </c>
      <c r="F20" s="696"/>
      <c r="G20" s="309"/>
    </row>
    <row r="21" spans="1:14" ht="14.25" customHeight="1" x14ac:dyDescent="0.15">
      <c r="A21" s="944" t="s">
        <v>877</v>
      </c>
      <c r="B21" s="684"/>
      <c r="C21" s="684"/>
      <c r="D21" s="311"/>
      <c r="E21" s="889"/>
      <c r="F21" s="696" t="s">
        <v>904</v>
      </c>
    </row>
    <row r="22" spans="1:14" ht="14.25" customHeight="1" x14ac:dyDescent="0.15">
      <c r="A22" s="961" t="s">
        <v>875</v>
      </c>
      <c r="B22" s="613" t="s">
        <v>870</v>
      </c>
      <c r="C22" s="309"/>
      <c r="D22" s="311"/>
      <c r="E22" s="890"/>
      <c r="F22" s="696" t="s">
        <v>899</v>
      </c>
    </row>
    <row r="23" spans="1:14" ht="14.25" customHeight="1" x14ac:dyDescent="0.15">
      <c r="A23" s="705">
        <v>75</v>
      </c>
      <c r="B23" s="312" t="s">
        <v>542</v>
      </c>
      <c r="C23" s="309"/>
      <c r="D23" s="311"/>
      <c r="E23" s="890"/>
      <c r="F23" s="696" t="s">
        <v>902</v>
      </c>
    </row>
    <row r="24" spans="1:14" ht="14.25" customHeight="1" x14ac:dyDescent="0.15">
      <c r="A24" s="705">
        <v>100</v>
      </c>
      <c r="B24" s="312" t="s">
        <v>543</v>
      </c>
      <c r="C24" s="309"/>
      <c r="D24" s="311"/>
      <c r="E24" s="890"/>
      <c r="F24" s="696" t="s">
        <v>954</v>
      </c>
    </row>
    <row r="25" spans="1:14" ht="14.25" customHeight="1" thickBot="1" x14ac:dyDescent="0.2">
      <c r="A25" s="962">
        <v>125</v>
      </c>
      <c r="B25" s="312" t="s">
        <v>115</v>
      </c>
      <c r="C25" s="309"/>
      <c r="D25" s="311"/>
      <c r="E25" s="891">
        <f>SUM(E22:E24)</f>
        <v>0</v>
      </c>
      <c r="F25" s="704" t="s">
        <v>898</v>
      </c>
    </row>
    <row r="26" spans="1:14" ht="14.25" customHeight="1" thickTop="1" x14ac:dyDescent="0.15">
      <c r="A26" s="944" t="s">
        <v>878</v>
      </c>
      <c r="B26" s="722"/>
      <c r="C26" s="684"/>
      <c r="D26" s="311"/>
      <c r="E26" s="309"/>
      <c r="F26" s="696"/>
    </row>
    <row r="27" spans="1:14" ht="14.25" customHeight="1" x14ac:dyDescent="0.15">
      <c r="A27" s="702" t="s">
        <v>992</v>
      </c>
      <c r="B27" s="703"/>
      <c r="C27" s="309"/>
      <c r="D27" s="311"/>
      <c r="E27" s="985" t="s">
        <v>988</v>
      </c>
      <c r="F27" s="963" t="s">
        <v>989</v>
      </c>
    </row>
    <row r="28" spans="1:14" ht="14.25" customHeight="1" x14ac:dyDescent="0.15">
      <c r="A28" s="702"/>
      <c r="B28" s="703"/>
      <c r="C28" s="309"/>
      <c r="D28" s="311"/>
      <c r="E28" s="913" t="s">
        <v>538</v>
      </c>
      <c r="F28" s="964"/>
    </row>
    <row r="29" spans="1:14" ht="14.25" customHeight="1" x14ac:dyDescent="0.15">
      <c r="A29" s="965" t="s">
        <v>882</v>
      </c>
      <c r="B29" s="675"/>
      <c r="C29" s="674"/>
      <c r="D29" s="311"/>
      <c r="E29" s="913" t="s">
        <v>841</v>
      </c>
      <c r="F29" s="964"/>
    </row>
    <row r="30" spans="1:14" ht="14.25" customHeight="1" x14ac:dyDescent="0.15">
      <c r="A30" s="705">
        <v>38</v>
      </c>
      <c r="B30" s="312" t="s">
        <v>991</v>
      </c>
      <c r="C30" s="309"/>
      <c r="D30" s="311"/>
      <c r="E30" s="913" t="s">
        <v>540</v>
      </c>
      <c r="F30" s="966"/>
    </row>
    <row r="31" spans="1:14" ht="30" customHeight="1" x14ac:dyDescent="0.15">
      <c r="A31" s="705">
        <v>40</v>
      </c>
      <c r="B31" s="312" t="s">
        <v>954</v>
      </c>
      <c r="C31" s="309"/>
      <c r="D31" s="311"/>
      <c r="E31" s="913" t="s">
        <v>541</v>
      </c>
      <c r="F31" s="966"/>
      <c r="L31" s="370"/>
    </row>
    <row r="32" spans="1:14" x14ac:dyDescent="0.15">
      <c r="A32" s="705" t="s">
        <v>901</v>
      </c>
      <c r="B32" s="309" t="s">
        <v>903</v>
      </c>
      <c r="C32" s="309"/>
      <c r="D32" s="311"/>
      <c r="E32" s="913" t="s">
        <v>539</v>
      </c>
      <c r="F32" s="966"/>
      <c r="G32" s="371"/>
      <c r="H32" s="250"/>
      <c r="M32" s="371"/>
      <c r="N32" s="372"/>
    </row>
    <row r="33" spans="1:20" ht="16" x14ac:dyDescent="0.2">
      <c r="A33" s="1010" t="s">
        <v>116</v>
      </c>
      <c r="B33" s="369"/>
      <c r="C33" s="309"/>
      <c r="D33" s="311"/>
      <c r="E33" s="1011" t="s">
        <v>117</v>
      </c>
      <c r="F33" s="696"/>
      <c r="G33" s="371"/>
      <c r="H33" s="250"/>
      <c r="I33" s="309"/>
      <c r="M33" s="371"/>
      <c r="N33" s="372"/>
    </row>
    <row r="34" spans="1:20" x14ac:dyDescent="0.15">
      <c r="A34" s="693" t="s">
        <v>118</v>
      </c>
      <c r="B34" s="1411"/>
      <c r="C34" s="1411"/>
      <c r="D34" s="309"/>
      <c r="E34" s="309" t="s">
        <v>120</v>
      </c>
      <c r="F34" s="964"/>
      <c r="G34" s="371"/>
      <c r="H34" s="250"/>
      <c r="I34" s="309"/>
      <c r="M34" s="371"/>
      <c r="N34" s="372"/>
    </row>
    <row r="35" spans="1:20" x14ac:dyDescent="0.15">
      <c r="A35" s="693" t="s">
        <v>119</v>
      </c>
      <c r="B35" s="1412"/>
      <c r="C35" s="1412"/>
      <c r="D35" s="309"/>
      <c r="E35" s="309" t="s">
        <v>534</v>
      </c>
      <c r="F35" s="966"/>
      <c r="G35" s="371"/>
      <c r="H35" s="250"/>
      <c r="M35" s="371"/>
      <c r="N35" s="372"/>
    </row>
    <row r="36" spans="1:20" x14ac:dyDescent="0.15">
      <c r="A36" s="693" t="s">
        <v>120</v>
      </c>
      <c r="B36" s="1412"/>
      <c r="C36" s="1412"/>
      <c r="D36" s="309"/>
      <c r="E36" s="913" t="s">
        <v>520</v>
      </c>
      <c r="F36" s="967"/>
      <c r="G36" s="371"/>
      <c r="H36" s="250"/>
      <c r="M36" s="371"/>
      <c r="N36" s="372"/>
    </row>
    <row r="37" spans="1:20" x14ac:dyDescent="0.15">
      <c r="A37" s="693" t="s">
        <v>534</v>
      </c>
      <c r="B37" s="1412"/>
      <c r="C37" s="1412"/>
      <c r="D37" s="309"/>
      <c r="E37" s="309" t="s">
        <v>885</v>
      </c>
      <c r="F37" s="966"/>
      <c r="G37" s="371"/>
      <c r="H37" s="250"/>
      <c r="M37" s="371"/>
      <c r="N37" s="372"/>
    </row>
    <row r="38" spans="1:20" x14ac:dyDescent="0.15">
      <c r="A38" s="693" t="s">
        <v>122</v>
      </c>
      <c r="B38" s="1412"/>
      <c r="C38" s="1412"/>
      <c r="D38" s="309"/>
      <c r="E38" s="933"/>
      <c r="F38" s="968"/>
      <c r="G38" s="371"/>
      <c r="M38" s="371"/>
      <c r="N38" s="372"/>
    </row>
    <row r="39" spans="1:20" s="373" customFormat="1" x14ac:dyDescent="0.15">
      <c r="A39" s="693" t="s">
        <v>124</v>
      </c>
      <c r="B39" s="1412"/>
      <c r="C39" s="1412"/>
      <c r="D39" s="309"/>
      <c r="E39" s="724" t="s">
        <v>945</v>
      </c>
      <c r="F39" s="969"/>
      <c r="G39" s="371"/>
      <c r="M39" s="371"/>
      <c r="N39" s="372"/>
    </row>
    <row r="40" spans="1:20" ht="15" x14ac:dyDescent="0.2">
      <c r="A40" s="1435" t="s">
        <v>940</v>
      </c>
      <c r="B40" s="1436"/>
      <c r="C40" s="928"/>
      <c r="D40" s="309"/>
      <c r="E40" s="725"/>
      <c r="F40" s="970" t="s">
        <v>887</v>
      </c>
      <c r="M40" s="372"/>
      <c r="N40" s="372"/>
    </row>
    <row r="41" spans="1:20" ht="23.25" customHeight="1" x14ac:dyDescent="0.15">
      <c r="A41" s="971" t="s">
        <v>524</v>
      </c>
      <c r="B41" s="634"/>
      <c r="C41" s="726"/>
      <c r="D41" s="372"/>
      <c r="E41" s="725"/>
      <c r="F41" s="970" t="s">
        <v>886</v>
      </c>
      <c r="G41" s="635"/>
    </row>
    <row r="42" spans="1:20" ht="15" x14ac:dyDescent="0.15">
      <c r="A42" s="694" t="s">
        <v>522</v>
      </c>
      <c r="B42" s="634"/>
      <c r="C42" s="929"/>
      <c r="D42" s="311"/>
      <c r="E42" s="725"/>
      <c r="F42" s="972" t="s">
        <v>956</v>
      </c>
      <c r="K42" s="372"/>
      <c r="L42" s="372"/>
      <c r="M42" s="372"/>
      <c r="N42" s="372"/>
    </row>
    <row r="43" spans="1:20" ht="15" x14ac:dyDescent="0.15">
      <c r="A43" s="694" t="s">
        <v>896</v>
      </c>
      <c r="B43" s="1434"/>
      <c r="C43" s="1434"/>
      <c r="D43" s="311"/>
      <c r="E43" s="1194"/>
      <c r="F43" s="972" t="s">
        <v>1271</v>
      </c>
      <c r="K43" s="372"/>
      <c r="L43" s="372"/>
      <c r="M43" s="372"/>
      <c r="N43" s="372"/>
    </row>
    <row r="44" spans="1:20" ht="16" x14ac:dyDescent="0.2">
      <c r="A44" s="694"/>
      <c r="B44" s="634"/>
      <c r="C44" s="650"/>
      <c r="D44" s="311"/>
      <c r="E44" s="1161"/>
      <c r="F44" s="972" t="s">
        <v>1270</v>
      </c>
      <c r="K44" s="372"/>
      <c r="L44" s="372"/>
      <c r="M44" s="372"/>
      <c r="N44" s="372"/>
      <c r="O44"/>
      <c r="P44"/>
      <c r="Q44"/>
      <c r="R44"/>
      <c r="S44"/>
      <c r="T44"/>
    </row>
    <row r="45" spans="1:20" ht="16" x14ac:dyDescent="0.2">
      <c r="A45" s="1012" t="s">
        <v>125</v>
      </c>
      <c r="B45" s="375"/>
      <c r="C45" s="309"/>
      <c r="D45" s="311"/>
      <c r="E45" s="884"/>
      <c r="F45" s="948" t="s">
        <v>906</v>
      </c>
      <c r="K45" s="372"/>
      <c r="L45" s="372"/>
      <c r="M45" s="372"/>
      <c r="N45" s="372"/>
      <c r="O45"/>
      <c r="P45"/>
      <c r="Q45"/>
      <c r="R45"/>
      <c r="S45"/>
      <c r="T45"/>
    </row>
    <row r="46" spans="1:20" ht="15" x14ac:dyDescent="0.2">
      <c r="A46" s="693" t="s">
        <v>118</v>
      </c>
      <c r="B46" s="1411"/>
      <c r="C46" s="1440"/>
      <c r="D46" s="311"/>
      <c r="E46" s="309"/>
      <c r="F46" s="1162"/>
      <c r="K46" s="372"/>
      <c r="L46" s="372"/>
      <c r="M46" s="372"/>
      <c r="N46" s="372"/>
      <c r="O46"/>
      <c r="P46"/>
      <c r="Q46"/>
      <c r="R46"/>
      <c r="S46"/>
      <c r="T46"/>
    </row>
    <row r="47" spans="1:20" ht="15" x14ac:dyDescent="0.2">
      <c r="A47" s="693" t="s">
        <v>119</v>
      </c>
      <c r="B47" s="1411"/>
      <c r="C47" s="1440"/>
      <c r="D47" s="311"/>
      <c r="E47" s="309"/>
      <c r="F47" s="967"/>
      <c r="K47" s="372"/>
      <c r="L47" s="372"/>
      <c r="M47" s="372"/>
      <c r="N47" s="372"/>
      <c r="O47"/>
      <c r="P47"/>
      <c r="Q47"/>
      <c r="R47"/>
      <c r="S47"/>
      <c r="T47"/>
    </row>
    <row r="48" spans="1:20" ht="15" x14ac:dyDescent="0.2">
      <c r="A48" s="693" t="s">
        <v>120</v>
      </c>
      <c r="B48" s="1412"/>
      <c r="C48" s="1448"/>
      <c r="D48" s="311"/>
      <c r="E48" s="974" t="s">
        <v>990</v>
      </c>
      <c r="F48" s="967"/>
      <c r="K48" s="372"/>
      <c r="L48" s="372"/>
      <c r="M48" s="372"/>
      <c r="N48" s="372"/>
      <c r="O48"/>
      <c r="P48"/>
      <c r="Q48"/>
      <c r="R48"/>
      <c r="S48"/>
      <c r="T48"/>
    </row>
    <row r="49" spans="1:20" ht="15" x14ac:dyDescent="0.2">
      <c r="A49" s="693" t="s">
        <v>121</v>
      </c>
      <c r="B49" s="1412"/>
      <c r="C49" s="1448"/>
      <c r="D49" s="311"/>
      <c r="E49" s="309" t="s">
        <v>884</v>
      </c>
      <c r="F49" s="975"/>
      <c r="K49" s="372"/>
      <c r="L49" s="372"/>
      <c r="M49" s="372"/>
      <c r="N49" s="372"/>
      <c r="O49"/>
      <c r="P49"/>
      <c r="Q49"/>
      <c r="R49"/>
      <c r="S49"/>
      <c r="T49"/>
    </row>
    <row r="50" spans="1:20" ht="15" x14ac:dyDescent="0.2">
      <c r="A50" s="693" t="s">
        <v>122</v>
      </c>
      <c r="B50" s="1412"/>
      <c r="C50" s="1448"/>
      <c r="D50" s="311"/>
      <c r="E50" s="309" t="s">
        <v>418</v>
      </c>
      <c r="F50" s="966"/>
      <c r="K50" s="372"/>
      <c r="L50" s="372"/>
      <c r="M50" s="372"/>
      <c r="N50" s="372"/>
      <c r="O50"/>
      <c r="P50"/>
      <c r="Q50"/>
      <c r="R50"/>
      <c r="S50"/>
      <c r="T50"/>
    </row>
    <row r="51" spans="1:20" ht="15" x14ac:dyDescent="0.2">
      <c r="A51" s="693" t="s">
        <v>123</v>
      </c>
      <c r="B51" s="1412"/>
      <c r="C51" s="1448"/>
      <c r="D51" s="311"/>
      <c r="E51" s="309" t="s">
        <v>120</v>
      </c>
      <c r="F51" s="966"/>
      <c r="K51" s="372"/>
      <c r="L51" s="372"/>
      <c r="M51" s="372"/>
      <c r="N51" s="372"/>
      <c r="O51"/>
      <c r="P51"/>
      <c r="Q51"/>
      <c r="R51"/>
      <c r="S51"/>
      <c r="T51"/>
    </row>
    <row r="52" spans="1:20" ht="28.25" customHeight="1" x14ac:dyDescent="0.2">
      <c r="A52" s="693" t="s">
        <v>124</v>
      </c>
      <c r="B52" s="1412"/>
      <c r="C52" s="1448"/>
      <c r="D52" s="311"/>
      <c r="E52" s="309" t="s">
        <v>534</v>
      </c>
      <c r="F52" s="966"/>
      <c r="G52" s="718"/>
      <c r="L52" s="372"/>
      <c r="M52" s="371"/>
      <c r="N52" s="371"/>
      <c r="O52"/>
      <c r="P52"/>
      <c r="Q52"/>
      <c r="R52"/>
      <c r="S52"/>
      <c r="T52"/>
    </row>
    <row r="53" spans="1:20" ht="54.75" customHeight="1" x14ac:dyDescent="0.2">
      <c r="A53" s="1446" t="s">
        <v>523</v>
      </c>
      <c r="B53" s="1447"/>
      <c r="C53" s="726"/>
      <c r="D53" s="311"/>
      <c r="E53" s="309" t="s">
        <v>122</v>
      </c>
      <c r="F53" s="966"/>
      <c r="G53" s="714"/>
      <c r="H53" s="309"/>
      <c r="L53" s="372"/>
      <c r="M53" s="371"/>
      <c r="N53" s="371"/>
      <c r="O53"/>
      <c r="P53"/>
      <c r="Q53"/>
      <c r="R53"/>
      <c r="S53"/>
      <c r="T53"/>
    </row>
    <row r="54" spans="1:20" ht="42.75" customHeight="1" x14ac:dyDescent="0.2">
      <c r="A54" s="694" t="s">
        <v>539</v>
      </c>
      <c r="B54" s="1439"/>
      <c r="C54" s="1440"/>
      <c r="D54" s="691"/>
      <c r="E54" s="309" t="s">
        <v>124</v>
      </c>
      <c r="F54" s="976"/>
      <c r="K54" s="372"/>
      <c r="L54" s="372"/>
      <c r="M54" s="372"/>
      <c r="N54" s="372"/>
      <c r="O54" s="372"/>
      <c r="P54" s="372"/>
    </row>
    <row r="55" spans="1:20" x14ac:dyDescent="0.15">
      <c r="A55" s="1444" t="s">
        <v>826</v>
      </c>
      <c r="B55" s="1445"/>
      <c r="C55" s="1445"/>
      <c r="D55" s="1445"/>
      <c r="E55" s="376" t="s">
        <v>126</v>
      </c>
      <c r="F55" s="964"/>
      <c r="K55" s="372"/>
      <c r="L55" s="372"/>
      <c r="M55" s="372"/>
      <c r="N55" s="372"/>
      <c r="O55" s="372"/>
      <c r="P55" s="372"/>
    </row>
    <row r="56" spans="1:20" ht="15" thickBot="1" x14ac:dyDescent="0.2">
      <c r="A56" s="690"/>
      <c r="B56" s="706"/>
      <c r="C56" s="706"/>
      <c r="D56" s="706"/>
      <c r="E56" s="977"/>
      <c r="F56" s="978"/>
    </row>
    <row r="57" spans="1:20" x14ac:dyDescent="0.15">
      <c r="A57" s="984" t="s">
        <v>527</v>
      </c>
      <c r="B57" s="923"/>
      <c r="C57" s="923"/>
      <c r="D57" s="923"/>
      <c r="E57" s="923"/>
      <c r="F57" s="924"/>
    </row>
    <row r="58" spans="1:20" ht="15" x14ac:dyDescent="0.2">
      <c r="A58" s="1442" t="s">
        <v>528</v>
      </c>
      <c r="B58" s="1443"/>
      <c r="C58" s="1443"/>
      <c r="D58" s="1443"/>
      <c r="E58" s="377">
        <f>D72</f>
        <v>106</v>
      </c>
      <c r="F58" s="1441" t="s">
        <v>759</v>
      </c>
    </row>
    <row r="59" spans="1:20" ht="15.75" customHeight="1" x14ac:dyDescent="0.2">
      <c r="A59" s="1442" t="s">
        <v>553</v>
      </c>
      <c r="B59" s="1443"/>
      <c r="C59" s="1443"/>
      <c r="D59" s="1443"/>
      <c r="E59" s="377">
        <f>D71</f>
        <v>99</v>
      </c>
      <c r="F59" s="1441"/>
    </row>
    <row r="60" spans="1:20" ht="15" x14ac:dyDescent="0.2">
      <c r="A60" s="1442" t="s">
        <v>554</v>
      </c>
      <c r="B60" s="1443"/>
      <c r="C60" s="1443"/>
      <c r="D60" s="1443"/>
      <c r="E60" s="377">
        <f>'7. Energy'!B49+'8. Water'!B62+'9. Lot Choice'!B41+'10. Site'!B36+'11. Health'!B58+'12. Materials'!B53+'13. Disaster Mitigation'!B56+'14. General'!B40</f>
        <v>99</v>
      </c>
      <c r="F60" s="1441"/>
    </row>
    <row r="61" spans="1:20" x14ac:dyDescent="0.15">
      <c r="A61" s="693"/>
      <c r="B61" s="309"/>
      <c r="C61" s="309"/>
      <c r="D61" s="309"/>
      <c r="E61" s="309"/>
      <c r="F61" s="696"/>
    </row>
    <row r="62" spans="1:20" ht="15" x14ac:dyDescent="0.2">
      <c r="A62" s="693"/>
      <c r="B62" s="378" t="s">
        <v>128</v>
      </c>
      <c r="C62" s="379"/>
      <c r="D62" s="380" t="s">
        <v>129</v>
      </c>
      <c r="E62" s="381"/>
      <c r="F62" s="697" t="s">
        <v>130</v>
      </c>
    </row>
    <row r="63" spans="1:20" ht="15" x14ac:dyDescent="0.2">
      <c r="A63" s="693"/>
      <c r="B63" s="153" t="s">
        <v>131</v>
      </c>
      <c r="C63" s="379"/>
      <c r="D63" s="770">
        <f>'7. Energy'!B51</f>
        <v>43</v>
      </c>
      <c r="E63" s="381"/>
      <c r="F63" s="698" t="s">
        <v>132</v>
      </c>
    </row>
    <row r="64" spans="1:20" ht="15" x14ac:dyDescent="0.2">
      <c r="A64" s="693"/>
      <c r="B64" s="153" t="s">
        <v>133</v>
      </c>
      <c r="C64" s="379"/>
      <c r="D64" s="770">
        <f>'8. Water'!B64</f>
        <v>12</v>
      </c>
      <c r="E64" s="381"/>
      <c r="F64" s="698" t="s">
        <v>134</v>
      </c>
    </row>
    <row r="65" spans="1:12" ht="15" x14ac:dyDescent="0.2">
      <c r="A65" s="693"/>
      <c r="B65" s="153" t="s">
        <v>135</v>
      </c>
      <c r="C65" s="153"/>
      <c r="D65" s="770">
        <f>'9. Lot Choice'!B43</f>
        <v>0</v>
      </c>
      <c r="E65" s="381"/>
      <c r="F65" s="698" t="s">
        <v>136</v>
      </c>
    </row>
    <row r="66" spans="1:12" ht="15" x14ac:dyDescent="0.2">
      <c r="A66" s="693"/>
      <c r="B66" s="153" t="s">
        <v>137</v>
      </c>
      <c r="C66" s="379"/>
      <c r="D66" s="770">
        <f>'10. Site'!B38</f>
        <v>4</v>
      </c>
      <c r="E66" s="381"/>
      <c r="F66" s="699" t="s">
        <v>138</v>
      </c>
    </row>
    <row r="67" spans="1:12" ht="15" x14ac:dyDescent="0.2">
      <c r="A67" s="693"/>
      <c r="B67" s="153" t="s">
        <v>139</v>
      </c>
      <c r="C67" s="379"/>
      <c r="D67" s="770">
        <f>'11. Health'!B60</f>
        <v>22</v>
      </c>
      <c r="E67" s="381"/>
      <c r="F67" s="698" t="s">
        <v>140</v>
      </c>
    </row>
    <row r="68" spans="1:12" ht="15" x14ac:dyDescent="0.2">
      <c r="A68" s="693"/>
      <c r="B68" s="153" t="s">
        <v>141</v>
      </c>
      <c r="C68" s="379"/>
      <c r="D68" s="770">
        <f>'12. Materials'!B55</f>
        <v>8</v>
      </c>
      <c r="E68" s="381"/>
      <c r="F68" s="699" t="s">
        <v>142</v>
      </c>
    </row>
    <row r="69" spans="1:12" ht="15" x14ac:dyDescent="0.2">
      <c r="A69" s="693"/>
      <c r="B69" s="153" t="s">
        <v>143</v>
      </c>
      <c r="C69" s="153"/>
      <c r="D69" s="770">
        <f>'13. Disaster Mitigation'!B58</f>
        <v>5</v>
      </c>
      <c r="E69" s="381"/>
      <c r="F69" s="699" t="s">
        <v>138</v>
      </c>
    </row>
    <row r="70" spans="1:12" ht="15" x14ac:dyDescent="0.2">
      <c r="A70" s="693"/>
      <c r="B70" s="153" t="s">
        <v>144</v>
      </c>
      <c r="C70" s="379"/>
      <c r="D70" s="770">
        <f>'14. General'!B42</f>
        <v>5</v>
      </c>
      <c r="E70" s="381"/>
      <c r="F70" s="698" t="s">
        <v>145</v>
      </c>
    </row>
    <row r="71" spans="1:12" ht="15" x14ac:dyDescent="0.2">
      <c r="A71" s="693"/>
      <c r="B71" s="379"/>
      <c r="C71" s="382" t="s">
        <v>146</v>
      </c>
      <c r="D71" s="940">
        <f>'4. SUMMARY'!E404</f>
        <v>99</v>
      </c>
      <c r="E71" s="381"/>
      <c r="F71" s="979"/>
    </row>
    <row r="72" spans="1:12" ht="19.25" customHeight="1" x14ac:dyDescent="0.2">
      <c r="A72" s="693"/>
      <c r="B72" s="379"/>
      <c r="C72" s="927" t="s">
        <v>532</v>
      </c>
      <c r="D72" s="941">
        <f>'4. SUMMARY'!E405</f>
        <v>106</v>
      </c>
      <c r="E72" s="383"/>
      <c r="F72" s="979"/>
    </row>
    <row r="73" spans="1:12" ht="19" x14ac:dyDescent="0.25">
      <c r="A73" s="693"/>
      <c r="B73" s="379"/>
      <c r="C73" s="939" t="s">
        <v>993</v>
      </c>
      <c r="D73" s="772">
        <f>D88+100</f>
        <v>93</v>
      </c>
      <c r="E73" s="938"/>
      <c r="F73" s="979"/>
      <c r="G73" s="622"/>
      <c r="H73" s="389"/>
      <c r="I73" s="389"/>
      <c r="J73" s="391"/>
      <c r="K73" s="391"/>
      <c r="L73" s="389"/>
    </row>
    <row r="74" spans="1:12" s="386" customFormat="1" ht="65.25" customHeight="1" thickBot="1" x14ac:dyDescent="0.3">
      <c r="A74" s="690"/>
      <c r="B74" s="700"/>
      <c r="C74" s="980" t="s">
        <v>4</v>
      </c>
      <c r="D74" s="981" t="str">
        <f>IF(D71=0," ",IF(D88&lt;=-1,"Not Certifiable",(IF(D88&lt;=30,"Bronze",(IF(D88&lt;=60,"Silver",(IF(D88&lt;=90,"Gold",(IF(D88&gt;=91,"Platinum",("""")))))))))))</f>
        <v>Not Certifiable</v>
      </c>
      <c r="E74" s="982"/>
      <c r="F74" s="983"/>
      <c r="G74" s="387"/>
      <c r="H74" s="388"/>
      <c r="J74" s="385"/>
      <c r="K74" s="250"/>
    </row>
    <row r="75" spans="1:12" s="386" customFormat="1" ht="15" x14ac:dyDescent="0.2">
      <c r="A75" s="94"/>
      <c r="B75" s="94"/>
      <c r="C75" s="367"/>
      <c r="D75" s="384"/>
      <c r="E75" s="94"/>
      <c r="F75" s="367"/>
      <c r="G75" s="385"/>
      <c r="H75" s="388" t="s">
        <v>235</v>
      </c>
      <c r="I75" s="389">
        <v>0</v>
      </c>
      <c r="J75" s="385"/>
      <c r="K75" s="250"/>
    </row>
    <row r="76" spans="1:12" s="386" customFormat="1" ht="15" x14ac:dyDescent="0.2">
      <c r="A76" s="621"/>
      <c r="B76" s="621"/>
      <c r="C76" s="620"/>
      <c r="D76" s="709"/>
      <c r="E76" s="621"/>
      <c r="F76" s="620"/>
      <c r="G76" s="385"/>
      <c r="H76" s="388" t="s">
        <v>236</v>
      </c>
      <c r="I76" s="389">
        <v>30</v>
      </c>
      <c r="J76" s="385"/>
      <c r="K76" s="367"/>
    </row>
    <row r="77" spans="1:12" s="386" customFormat="1" ht="15" x14ac:dyDescent="0.2">
      <c r="A77" s="621"/>
      <c r="B77" s="710"/>
      <c r="C77" s="621"/>
      <c r="D77" s="621"/>
      <c r="E77" s="710"/>
      <c r="F77" s="621"/>
      <c r="G77" s="385"/>
      <c r="H77" s="388" t="s">
        <v>237</v>
      </c>
      <c r="I77" s="389">
        <v>60</v>
      </c>
      <c r="K77" s="367"/>
    </row>
    <row r="78" spans="1:12" s="386" customFormat="1" ht="15" x14ac:dyDescent="0.2">
      <c r="A78" s="621"/>
      <c r="B78" s="711"/>
      <c r="C78" s="385"/>
      <c r="D78" s="624"/>
      <c r="E78" s="932"/>
      <c r="F78" s="374"/>
      <c r="G78" s="385"/>
      <c r="H78" s="388" t="s">
        <v>238</v>
      </c>
      <c r="I78" s="386">
        <v>90</v>
      </c>
      <c r="J78" s="390"/>
      <c r="K78" s="389"/>
    </row>
    <row r="79" spans="1:12" s="389" customFormat="1" ht="15" x14ac:dyDescent="0.2">
      <c r="A79" s="620"/>
      <c r="B79" s="620"/>
      <c r="C79" s="386" t="s">
        <v>828</v>
      </c>
      <c r="D79" s="624"/>
      <c r="E79" s="933"/>
      <c r="F79" s="934"/>
      <c r="G79" s="391"/>
      <c r="H79" s="388" t="s">
        <v>239</v>
      </c>
      <c r="I79" s="389">
        <v>91</v>
      </c>
      <c r="J79" s="392"/>
      <c r="K79" s="389" t="s">
        <v>22</v>
      </c>
    </row>
    <row r="80" spans="1:12" s="389" customFormat="1" ht="15" x14ac:dyDescent="0.2">
      <c r="A80" s="620"/>
      <c r="B80" s="620"/>
      <c r="C80" s="386" t="s">
        <v>829</v>
      </c>
      <c r="D80" s="624"/>
      <c r="E80" s="933"/>
      <c r="F80" s="934"/>
      <c r="G80" s="391"/>
      <c r="H80" s="391"/>
      <c r="J80" s="392"/>
      <c r="K80" s="389" t="s">
        <v>21</v>
      </c>
    </row>
    <row r="81" spans="1:12" s="389" customFormat="1" ht="15" x14ac:dyDescent="0.2">
      <c r="A81" s="619"/>
      <c r="B81" s="619"/>
      <c r="C81" s="389" t="s">
        <v>830</v>
      </c>
      <c r="D81" s="624"/>
      <c r="E81" s="933"/>
      <c r="F81" s="935"/>
      <c r="G81" s="391"/>
      <c r="H81" s="391"/>
      <c r="J81" s="393"/>
    </row>
    <row r="82" spans="1:12" s="389" customFormat="1" ht="15" x14ac:dyDescent="0.2">
      <c r="A82" s="619"/>
      <c r="B82" s="619"/>
      <c r="C82" s="389" t="s">
        <v>831</v>
      </c>
      <c r="D82" s="624"/>
      <c r="E82" s="1437"/>
      <c r="F82" s="1438"/>
      <c r="G82" s="394" t="s">
        <v>128</v>
      </c>
      <c r="H82" s="394" t="s">
        <v>223</v>
      </c>
      <c r="I82" s="394" t="s">
        <v>836</v>
      </c>
      <c r="J82" s="394" t="s">
        <v>225</v>
      </c>
      <c r="K82" s="389" t="s">
        <v>888</v>
      </c>
    </row>
    <row r="83" spans="1:12" s="389" customFormat="1" ht="15" x14ac:dyDescent="0.2">
      <c r="C83" s="389" t="s">
        <v>832</v>
      </c>
      <c r="D83" s="624"/>
      <c r="E83" s="1277"/>
      <c r="F83" s="1278"/>
      <c r="G83" s="394" t="s">
        <v>226</v>
      </c>
      <c r="H83" s="395">
        <v>30</v>
      </c>
      <c r="I83" s="395">
        <f t="shared" ref="I83:I91" si="0">D63</f>
        <v>43</v>
      </c>
      <c r="J83" s="395">
        <v>75</v>
      </c>
      <c r="K83" s="389" t="s">
        <v>889</v>
      </c>
    </row>
    <row r="84" spans="1:12" s="389" customFormat="1" ht="15" x14ac:dyDescent="0.2">
      <c r="C84" s="389" t="s">
        <v>833</v>
      </c>
      <c r="D84" s="624"/>
      <c r="E84" s="1279"/>
      <c r="F84" s="1280"/>
      <c r="G84" s="394" t="s">
        <v>227</v>
      </c>
      <c r="H84" s="395">
        <v>15</v>
      </c>
      <c r="I84" s="395">
        <f t="shared" si="0"/>
        <v>12</v>
      </c>
      <c r="J84" s="395">
        <v>40</v>
      </c>
    </row>
    <row r="85" spans="1:12" s="389" customFormat="1" ht="15" x14ac:dyDescent="0.2">
      <c r="C85" s="389" t="s">
        <v>834</v>
      </c>
      <c r="D85" s="391">
        <f>IF('13. Disaster Mitigation'!B58&lt;5,5-'13. Disaster Mitigation'!B58,0)</f>
        <v>0</v>
      </c>
      <c r="E85" s="391"/>
      <c r="G85" s="394" t="s">
        <v>228</v>
      </c>
      <c r="H85" s="395">
        <v>0</v>
      </c>
      <c r="I85" s="395">
        <f t="shared" si="0"/>
        <v>0</v>
      </c>
      <c r="J85" s="395">
        <v>15</v>
      </c>
      <c r="K85" s="389" t="s">
        <v>18</v>
      </c>
    </row>
    <row r="86" spans="1:12" s="389" customFormat="1" ht="15" x14ac:dyDescent="0.2">
      <c r="C86" s="389" t="s">
        <v>835</v>
      </c>
      <c r="D86" s="391">
        <f>IF('14. General'!B42&lt;0,0-'14. General'!B42,0)</f>
        <v>0</v>
      </c>
      <c r="E86" s="391"/>
      <c r="G86" s="394" t="s">
        <v>229</v>
      </c>
      <c r="H86" s="395">
        <v>5</v>
      </c>
      <c r="I86" s="395">
        <f t="shared" si="0"/>
        <v>4</v>
      </c>
      <c r="J86" s="395">
        <v>30</v>
      </c>
      <c r="K86" s="389" t="s">
        <v>19</v>
      </c>
    </row>
    <row r="87" spans="1:12" s="389" customFormat="1" ht="15" x14ac:dyDescent="0.2">
      <c r="D87" s="391"/>
      <c r="E87" s="391"/>
      <c r="G87" s="394" t="s">
        <v>230</v>
      </c>
      <c r="H87" s="395">
        <v>15</v>
      </c>
      <c r="I87" s="395">
        <f t="shared" si="0"/>
        <v>22</v>
      </c>
      <c r="J87" s="395">
        <v>35</v>
      </c>
    </row>
    <row r="88" spans="1:12" s="389" customFormat="1" ht="15" x14ac:dyDescent="0.2">
      <c r="A88" s="391"/>
      <c r="B88" s="1171"/>
      <c r="C88" s="391"/>
      <c r="D88" s="391">
        <f>D71-D72</f>
        <v>-7</v>
      </c>
      <c r="G88" s="394" t="s">
        <v>231</v>
      </c>
      <c r="H88" s="395">
        <v>10</v>
      </c>
      <c r="I88" s="395">
        <f t="shared" si="0"/>
        <v>8</v>
      </c>
      <c r="J88" s="395">
        <v>35</v>
      </c>
    </row>
    <row r="89" spans="1:12" s="389" customFormat="1" ht="15" x14ac:dyDescent="0.2">
      <c r="A89" s="391"/>
      <c r="B89" s="1171"/>
      <c r="C89" s="391"/>
      <c r="E89" s="390"/>
      <c r="F89" s="386"/>
      <c r="G89" s="394" t="s">
        <v>232</v>
      </c>
      <c r="H89" s="395">
        <v>5</v>
      </c>
      <c r="I89" s="395">
        <f t="shared" si="0"/>
        <v>5</v>
      </c>
      <c r="J89" s="395">
        <v>30</v>
      </c>
      <c r="K89" s="367"/>
    </row>
    <row r="90" spans="1:12" s="389" customFormat="1" ht="15" x14ac:dyDescent="0.2">
      <c r="A90" s="391"/>
      <c r="B90" s="1171"/>
      <c r="C90" s="391"/>
      <c r="D90" s="396"/>
      <c r="E90" s="396"/>
      <c r="F90" s="779"/>
      <c r="G90" s="394" t="s">
        <v>233</v>
      </c>
      <c r="H90" s="395">
        <v>0</v>
      </c>
      <c r="I90" s="395">
        <f t="shared" si="0"/>
        <v>5</v>
      </c>
      <c r="J90" s="395">
        <v>40</v>
      </c>
      <c r="K90" s="367"/>
    </row>
    <row r="91" spans="1:12" s="389" customFormat="1" ht="15" x14ac:dyDescent="0.2">
      <c r="A91" s="462"/>
      <c r="B91" s="462"/>
      <c r="C91" s="462"/>
      <c r="D91" s="619"/>
      <c r="E91" s="619"/>
      <c r="F91" s="619"/>
      <c r="G91" s="394" t="s">
        <v>234</v>
      </c>
      <c r="H91" s="395">
        <f>D72</f>
        <v>106</v>
      </c>
      <c r="I91" s="395">
        <f t="shared" si="0"/>
        <v>99</v>
      </c>
      <c r="J91" s="395">
        <v>300</v>
      </c>
      <c r="K91" s="367"/>
    </row>
    <row r="92" spans="1:12" s="389" customFormat="1" ht="15" x14ac:dyDescent="0.2">
      <c r="A92" s="462"/>
      <c r="B92" s="462"/>
      <c r="C92" s="462"/>
      <c r="D92" s="619"/>
      <c r="E92" s="619"/>
      <c r="F92" s="619"/>
      <c r="K92" s="367"/>
    </row>
    <row r="93" spans="1:12" x14ac:dyDescent="0.15">
      <c r="A93" s="619"/>
      <c r="B93" s="619"/>
      <c r="C93" s="619"/>
      <c r="D93" s="619"/>
      <c r="E93" s="619"/>
      <c r="F93" s="619"/>
      <c r="G93" s="389"/>
      <c r="H93" s="389"/>
      <c r="I93" s="389"/>
      <c r="J93" s="389"/>
      <c r="L93" s="389"/>
    </row>
    <row r="94" spans="1:12" x14ac:dyDescent="0.15">
      <c r="A94" s="619"/>
      <c r="B94" s="619"/>
      <c r="C94" s="619"/>
      <c r="D94" s="619"/>
      <c r="E94" s="619"/>
      <c r="F94" s="619"/>
      <c r="G94" s="389"/>
      <c r="H94" s="389"/>
      <c r="I94" s="389"/>
      <c r="J94" s="389"/>
      <c r="L94" s="389"/>
    </row>
    <row r="95" spans="1:12" x14ac:dyDescent="0.15">
      <c r="A95" s="619"/>
      <c r="B95" s="619"/>
      <c r="C95" s="619"/>
      <c r="D95" s="619"/>
      <c r="E95" s="619"/>
      <c r="F95" s="619"/>
      <c r="G95" s="389"/>
      <c r="H95" s="389"/>
      <c r="I95" s="389"/>
      <c r="J95" s="389"/>
      <c r="L95" s="389"/>
    </row>
    <row r="96" spans="1:12" x14ac:dyDescent="0.15">
      <c r="G96" s="389"/>
      <c r="H96" s="389"/>
      <c r="I96" s="389"/>
      <c r="J96" s="389"/>
      <c r="K96" s="389"/>
      <c r="L96" s="389"/>
    </row>
    <row r="97" spans="7:12" x14ac:dyDescent="0.15">
      <c r="G97" s="389"/>
      <c r="H97" s="389"/>
      <c r="I97" s="389"/>
      <c r="J97" s="389"/>
      <c r="K97" s="389"/>
      <c r="L97" s="389"/>
    </row>
    <row r="98" spans="7:12" x14ac:dyDescent="0.15">
      <c r="G98" s="389"/>
      <c r="H98" s="389"/>
      <c r="I98" s="389"/>
      <c r="J98" s="389"/>
      <c r="K98" s="389"/>
      <c r="L98" s="389"/>
    </row>
    <row r="99" spans="7:12" x14ac:dyDescent="0.15">
      <c r="G99" s="389"/>
      <c r="H99" s="389"/>
      <c r="I99" s="389"/>
      <c r="J99" s="389"/>
      <c r="K99" s="389"/>
      <c r="L99" s="389"/>
    </row>
    <row r="100" spans="7:12" x14ac:dyDescent="0.15">
      <c r="G100" s="389"/>
      <c r="H100" s="389"/>
      <c r="I100" s="389"/>
      <c r="J100" s="389"/>
      <c r="K100" s="389"/>
      <c r="L100" s="389"/>
    </row>
    <row r="101" spans="7:12" x14ac:dyDescent="0.15">
      <c r="G101" s="389"/>
      <c r="H101" s="389"/>
      <c r="I101" s="389"/>
      <c r="J101" s="389"/>
      <c r="K101" s="389"/>
      <c r="L101" s="389"/>
    </row>
  </sheetData>
  <sheetProtection insertHyperlinks="0"/>
  <mergeCells count="39">
    <mergeCell ref="A17:C17"/>
    <mergeCell ref="A18:C18"/>
    <mergeCell ref="A19:C19"/>
    <mergeCell ref="A14:B14"/>
    <mergeCell ref="C14:D14"/>
    <mergeCell ref="B46:C46"/>
    <mergeCell ref="A53:B53"/>
    <mergeCell ref="B47:C47"/>
    <mergeCell ref="B48:C48"/>
    <mergeCell ref="B49:C49"/>
    <mergeCell ref="B50:C50"/>
    <mergeCell ref="B52:C52"/>
    <mergeCell ref="B51:C51"/>
    <mergeCell ref="E82:F82"/>
    <mergeCell ref="B54:C54"/>
    <mergeCell ref="F58:F60"/>
    <mergeCell ref="A60:D60"/>
    <mergeCell ref="A59:D59"/>
    <mergeCell ref="A58:D58"/>
    <mergeCell ref="A55:D55"/>
    <mergeCell ref="B36:C36"/>
    <mergeCell ref="B37:C37"/>
    <mergeCell ref="B38:C38"/>
    <mergeCell ref="B39:C39"/>
    <mergeCell ref="B43:C43"/>
    <mergeCell ref="A40:B40"/>
    <mergeCell ref="K13:M13"/>
    <mergeCell ref="B34:C34"/>
    <mergeCell ref="B35:C35"/>
    <mergeCell ref="A1:F1"/>
    <mergeCell ref="A3:F3"/>
    <mergeCell ref="A5:F5"/>
    <mergeCell ref="A4:F4"/>
    <mergeCell ref="A11:F11"/>
    <mergeCell ref="A2:F2"/>
    <mergeCell ref="A10:D10"/>
    <mergeCell ref="B12:D12"/>
    <mergeCell ref="A13:D13"/>
    <mergeCell ref="A16:F16"/>
  </mergeCells>
  <phoneticPr fontId="80" type="noConversion"/>
  <dataValidations disablePrompts="1" count="3">
    <dataValidation type="list" allowBlank="1" showInputMessage="1" showErrorMessage="1" sqref="E40" xr:uid="{00000000-0002-0000-0400-000000000000}">
      <formula1>$K$78:$K$80</formula1>
    </dataValidation>
    <dataValidation type="list" allowBlank="1" showInputMessage="1" showErrorMessage="1" sqref="E41" xr:uid="{00000000-0002-0000-0400-000001000000}">
      <formula1>$K$81:$K$83</formula1>
    </dataValidation>
    <dataValidation type="list" allowBlank="1" showInputMessage="1" showErrorMessage="1" sqref="E42" xr:uid="{00000000-0002-0000-0400-000002000000}">
      <formula1>$K$84:$K$86</formula1>
    </dataValidation>
  </dataValidations>
  <hyperlinks>
    <hyperlink ref="E27" r:id="rId1" display="Pay Online or Authorize Credit Card Here: (Visa/MC/AX)" xr:uid="{00000000-0004-0000-0400-000001000000}"/>
    <hyperlink ref="B12:D12" r:id="rId2" display="https://buildertrend.net" xr:uid="{7920E8B0-5173-EF46-8AF6-684EE63B24D7}"/>
    <hyperlink ref="F10" r:id="rId3" display="http://florida-green-building-coalition.myshopify.com/" xr:uid="{FB00B5BD-2A4F-7940-9245-EB42CA3D150A}"/>
  </hyperlinks>
  <printOptions horizontalCentered="1"/>
  <pageMargins left="0.2" right="0.2" top="0.75" bottom="0.36" header="0.3" footer="0.05"/>
  <pageSetup scale="58" orientation="portrait" cellComments="asDisplayed" r:id="rId4"/>
  <headerFooter>
    <oddHeader>&amp;C&amp;G</oddHeader>
    <oddFooter>&amp;C&amp;9&amp;K0070C0The FGBC Green Home Standard is endorsed by the Florida Home Builders Association &amp;G</oddFooter>
  </headerFooter>
  <legacyDrawing r:id="rId5"/>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411"/>
  <sheetViews>
    <sheetView zoomScale="150" zoomScaleNormal="150" zoomScaleSheetLayoutView="100" zoomScalePageLayoutView="115" workbookViewId="0">
      <selection activeCell="A321" activeCellId="4" sqref="A307:XFD308 A310:XFD310 A312:XFD313 A316:XFD316 A321:XFD352"/>
    </sheetView>
  </sheetViews>
  <sheetFormatPr baseColWidth="10" defaultColWidth="8.6640625" defaultRowHeight="15" x14ac:dyDescent="0.2"/>
  <cols>
    <col min="1" max="2" width="7.6640625" style="416" customWidth="1"/>
    <col min="3" max="3" width="8.83203125" style="416" customWidth="1"/>
    <col min="4" max="4" width="7.6640625" style="416" customWidth="1"/>
    <col min="5" max="5" width="28.6640625" style="416" customWidth="1"/>
    <col min="6" max="6" width="7.6640625" style="416" customWidth="1"/>
    <col min="7" max="7" width="57.6640625" style="416" customWidth="1"/>
    <col min="8" max="16384" width="8.6640625" style="416"/>
  </cols>
  <sheetData>
    <row r="1" spans="1:10" s="784" customFormat="1" ht="20" x14ac:dyDescent="0.2">
      <c r="A1" s="1485" t="s">
        <v>521</v>
      </c>
      <c r="B1" s="1485"/>
      <c r="C1" s="1485"/>
      <c r="D1" s="1485"/>
      <c r="E1" s="1485"/>
      <c r="F1" s="1485"/>
      <c r="G1" s="1485"/>
    </row>
    <row r="2" spans="1:10" ht="21" customHeight="1" x14ac:dyDescent="0.2">
      <c r="A2" s="1486" t="s">
        <v>1398</v>
      </c>
      <c r="B2" s="1486"/>
      <c r="C2" s="1486"/>
      <c r="D2" s="1486"/>
      <c r="E2" s="1486"/>
      <c r="F2" s="1486"/>
      <c r="G2" s="1486"/>
    </row>
    <row r="3" spans="1:10" s="365" customFormat="1" ht="24" customHeight="1" x14ac:dyDescent="0.35">
      <c r="A3" s="1431" t="str">
        <f>'1. Instructions'!B2</f>
        <v>Version 12 Rev 1.0</v>
      </c>
      <c r="B3" s="1432"/>
      <c r="C3" s="1432"/>
      <c r="D3" s="1432"/>
      <c r="E3" s="1432"/>
      <c r="F3" s="1432"/>
      <c r="G3" s="1382"/>
      <c r="H3" s="366"/>
      <c r="I3" s="366"/>
      <c r="J3" s="366"/>
    </row>
    <row r="4" spans="1:10" ht="42" customHeight="1" x14ac:dyDescent="0.2">
      <c r="A4" s="1382"/>
      <c r="B4" s="1382"/>
      <c r="C4" s="1382"/>
      <c r="D4" s="1382"/>
      <c r="E4" s="1382"/>
      <c r="F4" s="1382"/>
      <c r="G4" s="1382"/>
    </row>
    <row r="5" spans="1:10" s="784" customFormat="1" ht="12" customHeight="1" thickBot="1" x14ac:dyDescent="0.25">
      <c r="A5" s="1285"/>
      <c r="B5" s="1285"/>
      <c r="C5" s="1285"/>
      <c r="D5" s="1285"/>
      <c r="E5" s="1285"/>
      <c r="F5" s="1285"/>
      <c r="G5" s="1285"/>
    </row>
    <row r="6" spans="1:10" ht="19" x14ac:dyDescent="0.25">
      <c r="A6" s="780" t="s">
        <v>774</v>
      </c>
      <c r="B6" s="781"/>
      <c r="C6" s="781"/>
      <c r="D6" s="781"/>
      <c r="E6" s="781"/>
      <c r="F6" s="782"/>
      <c r="G6" s="1014" t="str">
        <f>'1. Instructions'!B2</f>
        <v>Version 12 Rev 1.0</v>
      </c>
    </row>
    <row r="7" spans="1:10" ht="16" x14ac:dyDescent="0.2">
      <c r="A7" s="777" t="s">
        <v>5</v>
      </c>
      <c r="B7" s="775"/>
      <c r="C7" s="775"/>
      <c r="D7" s="775"/>
      <c r="E7" s="784"/>
      <c r="F7" s="784"/>
      <c r="G7" s="1006" t="str">
        <f>'1. Instructions'!B5</f>
        <v>Revised 4-5-2022</v>
      </c>
    </row>
    <row r="8" spans="1:10" ht="17" hidden="1" x14ac:dyDescent="0.2">
      <c r="A8" s="1023" t="s">
        <v>1017</v>
      </c>
      <c r="B8" s="776" t="str">
        <f>'6. Pre-requisites'!B6</f>
        <v>N/A</v>
      </c>
      <c r="C8" s="760" t="s">
        <v>8</v>
      </c>
      <c r="D8" s="760"/>
      <c r="E8" s="784"/>
      <c r="F8" s="784"/>
      <c r="G8" s="785"/>
    </row>
    <row r="9" spans="1:10" ht="17" hidden="1" x14ac:dyDescent="0.2">
      <c r="A9" s="786" t="s">
        <v>1027</v>
      </c>
      <c r="B9" s="776" t="str">
        <f>'6. Pre-requisites'!B7</f>
        <v>N/A</v>
      </c>
      <c r="C9" s="760" t="s">
        <v>10</v>
      </c>
      <c r="D9" s="760"/>
      <c r="E9" s="784"/>
      <c r="F9" s="784"/>
      <c r="G9" s="785"/>
    </row>
    <row r="10" spans="1:10" ht="17" hidden="1" x14ac:dyDescent="0.2">
      <c r="A10" s="786" t="s">
        <v>1028</v>
      </c>
      <c r="B10" s="776" t="str">
        <f>'6. Pre-requisites'!B8</f>
        <v>N/A</v>
      </c>
      <c r="C10" s="760" t="s">
        <v>12</v>
      </c>
      <c r="D10" s="760"/>
      <c r="E10" s="784"/>
      <c r="F10" s="784"/>
      <c r="G10" s="785"/>
    </row>
    <row r="11" spans="1:10" ht="17" hidden="1" x14ac:dyDescent="0.2">
      <c r="A11" s="786" t="s">
        <v>1029</v>
      </c>
      <c r="B11" s="776" t="str">
        <f>'6. Pre-requisites'!B9</f>
        <v>N/A</v>
      </c>
      <c r="C11" s="760" t="s">
        <v>499</v>
      </c>
      <c r="D11" s="760"/>
      <c r="E11" s="784"/>
      <c r="F11" s="784"/>
      <c r="G11" s="785"/>
    </row>
    <row r="12" spans="1:10" x14ac:dyDescent="0.2">
      <c r="A12" s="786" t="s">
        <v>1030</v>
      </c>
      <c r="B12" s="1184" t="str">
        <f>'6. Pre-requisites'!B10</f>
        <v>N/A</v>
      </c>
      <c r="C12" s="1286" t="s">
        <v>824</v>
      </c>
      <c r="D12" s="1286"/>
      <c r="E12" s="1287"/>
      <c r="F12" s="1287"/>
      <c r="G12" s="1288"/>
    </row>
    <row r="13" spans="1:10" ht="16" x14ac:dyDescent="0.2">
      <c r="A13" s="777" t="s">
        <v>6</v>
      </c>
      <c r="B13" s="775"/>
      <c r="C13" s="775"/>
      <c r="D13" s="775"/>
      <c r="E13" s="784"/>
      <c r="F13" s="784"/>
      <c r="G13" s="785"/>
    </row>
    <row r="14" spans="1:10" hidden="1" x14ac:dyDescent="0.2">
      <c r="A14" s="786" t="s">
        <v>1031</v>
      </c>
      <c r="B14" s="1184" t="str">
        <f>'6. Pre-requisites'!B13</f>
        <v>N/A</v>
      </c>
      <c r="C14" s="760" t="s">
        <v>9</v>
      </c>
      <c r="D14" s="760"/>
      <c r="E14" s="784"/>
      <c r="F14" s="784"/>
      <c r="G14" s="785"/>
    </row>
    <row r="15" spans="1:10" hidden="1" x14ac:dyDescent="0.2">
      <c r="A15" s="786" t="s">
        <v>1032</v>
      </c>
      <c r="B15" s="773" t="str">
        <f>'6. Pre-requisites'!B14</f>
        <v>N/A</v>
      </c>
      <c r="C15" s="787" t="s">
        <v>11</v>
      </c>
      <c r="D15" s="787"/>
      <c r="E15" s="784"/>
      <c r="F15" s="784"/>
      <c r="G15" s="785"/>
    </row>
    <row r="16" spans="1:10" hidden="1" x14ac:dyDescent="0.2">
      <c r="A16" s="786" t="s">
        <v>1033</v>
      </c>
      <c r="B16" s="773" t="str">
        <f>'6. Pre-requisites'!B15</f>
        <v>N/A</v>
      </c>
      <c r="C16" s="787" t="s">
        <v>13</v>
      </c>
      <c r="D16" s="787"/>
      <c r="E16" s="784"/>
      <c r="F16" s="784"/>
      <c r="G16" s="785"/>
    </row>
    <row r="17" spans="1:7" x14ac:dyDescent="0.2">
      <c r="A17" s="786" t="s">
        <v>1034</v>
      </c>
      <c r="B17" s="773" t="str">
        <f>'6. Pre-requisites'!B16</f>
        <v>N/A</v>
      </c>
      <c r="C17" s="1286" t="s">
        <v>15</v>
      </c>
      <c r="D17" s="1286"/>
      <c r="E17" s="1287"/>
      <c r="F17" s="1287"/>
      <c r="G17" s="1288"/>
    </row>
    <row r="18" spans="1:7" ht="21" customHeight="1" x14ac:dyDescent="0.2">
      <c r="A18" s="777" t="s">
        <v>500</v>
      </c>
      <c r="B18" s="775"/>
      <c r="C18" s="775"/>
      <c r="D18" s="775"/>
      <c r="E18" s="784"/>
      <c r="F18" s="784"/>
      <c r="G18" s="785"/>
    </row>
    <row r="19" spans="1:7" x14ac:dyDescent="0.2">
      <c r="A19" s="786" t="s">
        <v>1035</v>
      </c>
      <c r="B19" s="1184" t="str">
        <f>'6. Pre-requisites'!B19</f>
        <v>N/A</v>
      </c>
      <c r="C19" s="1286" t="s">
        <v>555</v>
      </c>
      <c r="D19" s="1286"/>
      <c r="E19" s="1287"/>
      <c r="F19" s="1287"/>
      <c r="G19" s="1288"/>
    </row>
    <row r="20" spans="1:7" ht="16" thickBot="1" x14ac:dyDescent="0.25">
      <c r="A20" s="788"/>
      <c r="B20" s="789"/>
      <c r="C20" s="790" t="str">
        <f>'6. Pre-requisites'!C20</f>
        <v>New</v>
      </c>
      <c r="D20" s="1289" t="s">
        <v>20</v>
      </c>
      <c r="E20" s="1290"/>
      <c r="F20" s="1290"/>
      <c r="G20" s="1291"/>
    </row>
    <row r="21" spans="1:7" ht="19" x14ac:dyDescent="0.25">
      <c r="A21" s="780" t="s">
        <v>767</v>
      </c>
      <c r="B21" s="781"/>
      <c r="C21" s="781"/>
      <c r="D21" s="781"/>
      <c r="E21" s="781"/>
      <c r="F21" s="781"/>
      <c r="G21" s="1014" t="str">
        <f>'1. Instructions'!B2</f>
        <v>Version 12 Rev 1.0</v>
      </c>
    </row>
    <row r="22" spans="1:7" ht="16" x14ac:dyDescent="0.2">
      <c r="A22" s="794" t="s">
        <v>148</v>
      </c>
      <c r="B22" s="1178"/>
      <c r="C22" s="1178"/>
      <c r="D22" s="1178"/>
      <c r="E22" s="1178"/>
      <c r="F22" s="1178"/>
      <c r="G22" s="1006" t="str">
        <f>'1. Instructions'!B5</f>
        <v>Revised 4-5-2022</v>
      </c>
    </row>
    <row r="23" spans="1:7" ht="16" x14ac:dyDescent="0.2">
      <c r="A23" s="777" t="s">
        <v>27</v>
      </c>
      <c r="B23" s="775"/>
      <c r="C23" s="775"/>
      <c r="D23" s="775"/>
      <c r="E23" s="775"/>
      <c r="F23" s="795"/>
      <c r="G23" s="785"/>
    </row>
    <row r="24" spans="1:7" s="784" customFormat="1" x14ac:dyDescent="0.2">
      <c r="A24" s="796" t="s">
        <v>1036</v>
      </c>
      <c r="B24" s="1184">
        <f>'7. Energy'!B5</f>
        <v>30</v>
      </c>
      <c r="C24" s="797" t="s">
        <v>440</v>
      </c>
      <c r="D24" s="1296" t="s">
        <v>924</v>
      </c>
      <c r="E24" s="1296"/>
      <c r="F24" s="1292"/>
      <c r="G24" s="1288"/>
    </row>
    <row r="25" spans="1:7" s="784" customFormat="1" x14ac:dyDescent="0.2">
      <c r="A25" s="799"/>
      <c r="B25" s="765"/>
      <c r="C25" s="765"/>
      <c r="D25" s="770" t="str">
        <f>'7. Energy'!D6</f>
        <v>Yes</v>
      </c>
      <c r="E25" s="1292" t="s">
        <v>32</v>
      </c>
      <c r="F25" s="1293"/>
      <c r="G25" s="1288"/>
    </row>
    <row r="26" spans="1:7" x14ac:dyDescent="0.2">
      <c r="A26" s="765"/>
      <c r="B26" s="765"/>
      <c r="C26" s="765"/>
      <c r="D26" s="1203">
        <f>'7. Energy'!D7</f>
        <v>65</v>
      </c>
      <c r="E26" s="1294" t="s">
        <v>33</v>
      </c>
      <c r="F26" s="1295"/>
      <c r="G26" s="1288"/>
    </row>
    <row r="27" spans="1:7" ht="14.75" hidden="1" customHeight="1" x14ac:dyDescent="0.2">
      <c r="A27" s="1487" t="s">
        <v>1331</v>
      </c>
      <c r="B27" s="1487"/>
      <c r="C27" s="1487"/>
      <c r="D27" s="1487"/>
      <c r="E27" s="1487"/>
      <c r="F27" s="801"/>
      <c r="G27" s="785"/>
    </row>
    <row r="28" spans="1:7" ht="15" hidden="1" customHeight="1" x14ac:dyDescent="0.2">
      <c r="A28" s="1201" t="s">
        <v>1334</v>
      </c>
      <c r="B28" s="1203">
        <f>'E1.01b Multi-Fam Energy Option'!B40</f>
        <v>0</v>
      </c>
      <c r="C28" s="1201" t="s">
        <v>1379</v>
      </c>
      <c r="D28" s="160" t="s">
        <v>1373</v>
      </c>
      <c r="E28" s="160"/>
      <c r="F28" s="801"/>
      <c r="G28" s="785"/>
    </row>
    <row r="29" spans="1:7" ht="16" x14ac:dyDescent="0.2">
      <c r="A29" s="1264" t="s">
        <v>764</v>
      </c>
      <c r="B29" s="775"/>
      <c r="C29" s="775"/>
      <c r="D29" s="775"/>
      <c r="E29" s="775"/>
      <c r="F29" s="795"/>
      <c r="G29" s="785"/>
    </row>
    <row r="30" spans="1:7" x14ac:dyDescent="0.2">
      <c r="A30" s="796" t="s">
        <v>1040</v>
      </c>
      <c r="B30" s="773">
        <f>'7. Energy'!B12</f>
        <v>1</v>
      </c>
      <c r="C30" s="1058">
        <v>1</v>
      </c>
      <c r="D30" s="1297" t="s">
        <v>912</v>
      </c>
      <c r="E30" s="1297"/>
      <c r="F30" s="1292"/>
      <c r="G30" s="1288"/>
    </row>
    <row r="31" spans="1:7" x14ac:dyDescent="0.2">
      <c r="A31" s="796" t="s">
        <v>1041</v>
      </c>
      <c r="B31" s="1184">
        <f>'7. Energy'!B13</f>
        <v>1</v>
      </c>
      <c r="C31" s="804">
        <v>1</v>
      </c>
      <c r="D31" s="1298" t="s">
        <v>36</v>
      </c>
      <c r="E31" s="1294"/>
      <c r="F31" s="1293"/>
      <c r="G31" s="1288"/>
    </row>
    <row r="32" spans="1:7" hidden="1" x14ac:dyDescent="0.2">
      <c r="A32" s="796" t="s">
        <v>1042</v>
      </c>
      <c r="B32" s="1184">
        <f>'7. Energy'!B14</f>
        <v>0</v>
      </c>
      <c r="C32" s="805">
        <v>1</v>
      </c>
      <c r="D32" s="831" t="s">
        <v>501</v>
      </c>
      <c r="E32" s="760"/>
      <c r="F32" s="800"/>
      <c r="G32" s="785"/>
    </row>
    <row r="33" spans="1:7" hidden="1" x14ac:dyDescent="0.2">
      <c r="A33" s="796" t="s">
        <v>1043</v>
      </c>
      <c r="B33" s="1184">
        <f>'7. Energy'!B15</f>
        <v>0</v>
      </c>
      <c r="C33" s="804">
        <v>1</v>
      </c>
      <c r="D33" s="1181" t="s">
        <v>37</v>
      </c>
      <c r="E33" s="1181"/>
      <c r="F33" s="800"/>
      <c r="G33" s="785"/>
    </row>
    <row r="34" spans="1:7" x14ac:dyDescent="0.2">
      <c r="A34" s="796" t="s">
        <v>1044</v>
      </c>
      <c r="B34" s="1184">
        <f>'7. Energy'!B16</f>
        <v>1</v>
      </c>
      <c r="C34" s="804">
        <v>1</v>
      </c>
      <c r="D34" s="1299" t="s">
        <v>443</v>
      </c>
      <c r="E34" s="1299"/>
      <c r="F34" s="1300"/>
      <c r="G34" s="1301"/>
    </row>
    <row r="35" spans="1:7" hidden="1" x14ac:dyDescent="0.2">
      <c r="A35" s="796" t="s">
        <v>1045</v>
      </c>
      <c r="B35" s="1184">
        <f>'7. Energy'!B17</f>
        <v>0</v>
      </c>
      <c r="C35" s="804">
        <v>1</v>
      </c>
      <c r="D35" s="1181" t="s">
        <v>38</v>
      </c>
      <c r="E35" s="1181"/>
      <c r="F35" s="800"/>
      <c r="G35" s="785"/>
    </row>
    <row r="36" spans="1:7" hidden="1" x14ac:dyDescent="0.2">
      <c r="A36" s="796" t="s">
        <v>1046</v>
      </c>
      <c r="B36" s="1184">
        <f>'7. Energy'!B18</f>
        <v>0</v>
      </c>
      <c r="C36" s="804">
        <v>1</v>
      </c>
      <c r="D36" s="1181" t="s">
        <v>39</v>
      </c>
      <c r="E36" s="1181"/>
      <c r="F36" s="800"/>
      <c r="G36" s="785"/>
    </row>
    <row r="37" spans="1:7" hidden="1" x14ac:dyDescent="0.2">
      <c r="A37" s="796" t="s">
        <v>1047</v>
      </c>
      <c r="B37" s="1184">
        <f>'7. Energy'!B19</f>
        <v>0</v>
      </c>
      <c r="C37" s="804">
        <v>1</v>
      </c>
      <c r="D37" s="1181" t="s">
        <v>40</v>
      </c>
      <c r="E37" s="1181"/>
      <c r="F37" s="800"/>
      <c r="G37" s="785"/>
    </row>
    <row r="38" spans="1:7" hidden="1" x14ac:dyDescent="0.2">
      <c r="A38" s="796" t="s">
        <v>1039</v>
      </c>
      <c r="B38" s="770">
        <f>'7. Energy'!B20</f>
        <v>0</v>
      </c>
      <c r="C38" s="797" t="s">
        <v>41</v>
      </c>
      <c r="D38" s="1181" t="s">
        <v>42</v>
      </c>
      <c r="E38" s="1181"/>
      <c r="F38" s="800"/>
      <c r="G38" s="785"/>
    </row>
    <row r="39" spans="1:7" hidden="1" x14ac:dyDescent="0.2">
      <c r="A39" s="799"/>
      <c r="B39" s="765"/>
      <c r="C39" s="765"/>
      <c r="D39" s="806">
        <f>'7. Energy'!D21</f>
        <v>0</v>
      </c>
      <c r="E39" s="807" t="s">
        <v>43</v>
      </c>
      <c r="F39" s="800"/>
      <c r="G39" s="785"/>
    </row>
    <row r="40" spans="1:7" s="753" customFormat="1" hidden="1" x14ac:dyDescent="0.2">
      <c r="A40" s="796" t="s">
        <v>598</v>
      </c>
      <c r="B40" s="1184">
        <f>'7. Energy'!B22</f>
        <v>0</v>
      </c>
      <c r="C40" s="804">
        <v>1</v>
      </c>
      <c r="D40" s="1181" t="s">
        <v>44</v>
      </c>
      <c r="E40" s="1181"/>
      <c r="F40" s="800"/>
      <c r="G40" s="785"/>
    </row>
    <row r="41" spans="1:7" x14ac:dyDescent="0.2">
      <c r="A41" s="796" t="s">
        <v>599</v>
      </c>
      <c r="B41" s="1184">
        <f>'7. Energy'!B23</f>
        <v>0</v>
      </c>
      <c r="C41" s="804">
        <v>1</v>
      </c>
      <c r="D41" s="1299" t="s">
        <v>45</v>
      </c>
      <c r="E41" s="1299"/>
      <c r="F41" s="1300"/>
      <c r="G41" s="1301"/>
    </row>
    <row r="42" spans="1:7" x14ac:dyDescent="0.2">
      <c r="A42" s="796" t="s">
        <v>600</v>
      </c>
      <c r="B42" s="1184">
        <f>'7. Energy'!B24</f>
        <v>0</v>
      </c>
      <c r="C42" s="804">
        <v>1</v>
      </c>
      <c r="D42" s="1299" t="s">
        <v>556</v>
      </c>
      <c r="E42" s="1299"/>
      <c r="F42" s="1300"/>
      <c r="G42" s="1301"/>
    </row>
    <row r="43" spans="1:7" s="754" customFormat="1" x14ac:dyDescent="0.2">
      <c r="A43" s="824"/>
      <c r="B43" s="779"/>
      <c r="C43" s="804"/>
      <c r="D43" s="750">
        <f>'7. Energy'!D25</f>
        <v>0</v>
      </c>
      <c r="E43" s="1302" t="s">
        <v>946</v>
      </c>
      <c r="F43" s="1300"/>
      <c r="G43" s="1301"/>
    </row>
    <row r="44" spans="1:7" x14ac:dyDescent="0.2">
      <c r="A44" s="796" t="s">
        <v>601</v>
      </c>
      <c r="B44" s="1184">
        <f>'7. Energy'!B26</f>
        <v>2</v>
      </c>
      <c r="C44" s="797" t="s">
        <v>47</v>
      </c>
      <c r="D44" s="1294" t="s">
        <v>48</v>
      </c>
      <c r="E44" s="1294"/>
      <c r="F44" s="1293"/>
      <c r="G44" s="1288"/>
    </row>
    <row r="45" spans="1:7" s="754" customFormat="1" x14ac:dyDescent="0.2">
      <c r="A45" s="799"/>
      <c r="B45" s="765"/>
      <c r="C45" s="765"/>
      <c r="D45" s="825" t="str">
        <f>'7. Energy'!D27</f>
        <v>Yes</v>
      </c>
      <c r="E45" s="1294" t="s">
        <v>49</v>
      </c>
      <c r="F45" s="1293"/>
      <c r="G45" s="1288"/>
    </row>
    <row r="46" spans="1:7" x14ac:dyDescent="0.2">
      <c r="A46" s="799"/>
      <c r="B46" s="765"/>
      <c r="C46" s="765"/>
      <c r="D46" s="750">
        <f>'7. Energy'!D28</f>
        <v>80</v>
      </c>
      <c r="E46" s="1303" t="s">
        <v>917</v>
      </c>
      <c r="F46" s="1293"/>
      <c r="G46" s="1288"/>
    </row>
    <row r="47" spans="1:7" x14ac:dyDescent="0.2">
      <c r="A47" s="799"/>
      <c r="B47" s="765"/>
      <c r="C47" s="765"/>
      <c r="D47" s="1184" t="str">
        <f>'7. Energy'!D29</f>
        <v>Yes</v>
      </c>
      <c r="E47" s="1294" t="s">
        <v>67</v>
      </c>
      <c r="F47" s="1293"/>
      <c r="G47" s="1288"/>
    </row>
    <row r="48" spans="1:7" x14ac:dyDescent="0.2">
      <c r="A48" s="799"/>
      <c r="B48" s="765"/>
      <c r="C48" s="765"/>
      <c r="D48" s="750">
        <f>'7. Energy'!D30</f>
        <v>80</v>
      </c>
      <c r="E48" s="1303" t="s">
        <v>917</v>
      </c>
      <c r="F48" s="1293"/>
      <c r="G48" s="1288"/>
    </row>
    <row r="49" spans="1:7" x14ac:dyDescent="0.2">
      <c r="A49" s="796" t="s">
        <v>602</v>
      </c>
      <c r="B49" s="1184">
        <f>'7. Energy'!B31</f>
        <v>1</v>
      </c>
      <c r="C49" s="804">
        <v>1</v>
      </c>
      <c r="D49" s="1294" t="s">
        <v>1380</v>
      </c>
      <c r="E49" s="1294"/>
      <c r="F49" s="1293"/>
      <c r="G49" s="1288"/>
    </row>
    <row r="50" spans="1:7" hidden="1" x14ac:dyDescent="0.2">
      <c r="A50" s="796" t="s">
        <v>603</v>
      </c>
      <c r="B50" s="1184">
        <f>'7. Energy'!B32</f>
        <v>0</v>
      </c>
      <c r="C50" s="804">
        <v>1</v>
      </c>
      <c r="D50" s="765" t="s">
        <v>1382</v>
      </c>
      <c r="E50" s="765"/>
      <c r="F50" s="800"/>
      <c r="G50" s="785"/>
    </row>
    <row r="51" spans="1:7" hidden="1" x14ac:dyDescent="0.2">
      <c r="A51" s="796" t="s">
        <v>604</v>
      </c>
      <c r="B51" s="1184">
        <f>'7. Energy'!B33</f>
        <v>0</v>
      </c>
      <c r="C51" s="804">
        <v>2</v>
      </c>
      <c r="D51" s="798" t="s">
        <v>462</v>
      </c>
      <c r="E51" s="798"/>
      <c r="F51" s="800"/>
      <c r="G51" s="785"/>
    </row>
    <row r="52" spans="1:7" hidden="1" x14ac:dyDescent="0.2">
      <c r="A52" s="796" t="s">
        <v>605</v>
      </c>
      <c r="B52" s="1184">
        <f>'7. Energy'!B34</f>
        <v>0</v>
      </c>
      <c r="C52" s="804">
        <v>1</v>
      </c>
      <c r="D52" s="798" t="s">
        <v>54</v>
      </c>
      <c r="E52" s="798"/>
      <c r="F52" s="800"/>
      <c r="G52" s="785"/>
    </row>
    <row r="53" spans="1:7" hidden="1" x14ac:dyDescent="0.2">
      <c r="A53" s="796" t="s">
        <v>606</v>
      </c>
      <c r="B53" s="1184">
        <f>'7. Energy'!B35</f>
        <v>0</v>
      </c>
      <c r="C53" s="804">
        <v>1</v>
      </c>
      <c r="D53" s="760" t="s">
        <v>1293</v>
      </c>
      <c r="E53" s="760"/>
      <c r="F53" s="800"/>
      <c r="G53" s="785"/>
    </row>
    <row r="54" spans="1:7" x14ac:dyDescent="0.2">
      <c r="A54" s="796" t="s">
        <v>607</v>
      </c>
      <c r="B54" s="1184">
        <f>'7. Energy'!B36</f>
        <v>1</v>
      </c>
      <c r="C54" s="1045">
        <v>1</v>
      </c>
      <c r="D54" s="1286" t="s">
        <v>573</v>
      </c>
      <c r="E54" s="1286"/>
      <c r="F54" s="1293"/>
      <c r="G54" s="1288"/>
    </row>
    <row r="55" spans="1:7" hidden="1" x14ac:dyDescent="0.2">
      <c r="A55" s="796" t="s">
        <v>608</v>
      </c>
      <c r="B55" s="1184">
        <f>'7. Energy'!B37</f>
        <v>0</v>
      </c>
      <c r="C55" s="804">
        <v>1</v>
      </c>
      <c r="D55" s="760" t="s">
        <v>1293</v>
      </c>
      <c r="E55" s="760"/>
      <c r="F55" s="800"/>
      <c r="G55" s="785"/>
    </row>
    <row r="56" spans="1:7" x14ac:dyDescent="0.2">
      <c r="A56" s="796" t="s">
        <v>609</v>
      </c>
      <c r="B56" s="1184">
        <f>'7. Energy'!B38</f>
        <v>0</v>
      </c>
      <c r="C56" s="804" t="s">
        <v>1383</v>
      </c>
      <c r="D56" s="1466" t="s">
        <v>57</v>
      </c>
      <c r="E56" s="1467"/>
      <c r="F56" s="1467"/>
      <c r="G56" s="1468"/>
    </row>
    <row r="57" spans="1:7" x14ac:dyDescent="0.2">
      <c r="A57" s="796" t="s">
        <v>610</v>
      </c>
      <c r="B57" s="1184">
        <f>'7. Energy'!B39</f>
        <v>1</v>
      </c>
      <c r="C57" s="804">
        <v>1</v>
      </c>
      <c r="D57" s="1294" t="s">
        <v>58</v>
      </c>
      <c r="E57" s="1294"/>
      <c r="F57" s="1293"/>
      <c r="G57" s="1288"/>
    </row>
    <row r="58" spans="1:7" x14ac:dyDescent="0.2">
      <c r="A58" s="799"/>
      <c r="B58" s="765"/>
      <c r="C58" s="765"/>
      <c r="D58" s="1184">
        <f>'7. Energy'!D40</f>
        <v>1804</v>
      </c>
      <c r="E58" s="1303" t="s">
        <v>430</v>
      </c>
      <c r="F58" s="1293"/>
      <c r="G58" s="1288"/>
    </row>
    <row r="59" spans="1:7" x14ac:dyDescent="0.2">
      <c r="A59" s="799"/>
      <c r="B59" s="765"/>
      <c r="C59" s="765"/>
      <c r="D59" s="1184">
        <f>'7. Energy'!D41</f>
        <v>1580</v>
      </c>
      <c r="E59" s="1303" t="s">
        <v>431</v>
      </c>
      <c r="F59" s="1293"/>
      <c r="G59" s="1288"/>
    </row>
    <row r="60" spans="1:7" x14ac:dyDescent="0.2">
      <c r="A60" s="799"/>
      <c r="B60" s="765"/>
      <c r="C60" s="765"/>
      <c r="D60" s="1184">
        <f>'7. Energy'!D42</f>
        <v>2</v>
      </c>
      <c r="E60" s="1303" t="s">
        <v>432</v>
      </c>
      <c r="F60" s="1293"/>
      <c r="G60" s="1288"/>
    </row>
    <row r="61" spans="1:7" hidden="1" x14ac:dyDescent="0.2">
      <c r="A61" s="822" t="s">
        <v>611</v>
      </c>
      <c r="B61" s="1184">
        <f>'7. Energy'!B43</f>
        <v>0</v>
      </c>
      <c r="C61" s="804">
        <v>1</v>
      </c>
      <c r="D61" s="765" t="s">
        <v>444</v>
      </c>
      <c r="E61" s="765"/>
      <c r="F61" s="800"/>
      <c r="G61" s="785"/>
    </row>
    <row r="62" spans="1:7" hidden="1" x14ac:dyDescent="0.2">
      <c r="A62" s="822" t="s">
        <v>843</v>
      </c>
      <c r="B62" s="1184">
        <f>'7. Energy'!B44</f>
        <v>0</v>
      </c>
      <c r="C62" s="1017" t="s">
        <v>1013</v>
      </c>
      <c r="D62" s="765" t="s">
        <v>918</v>
      </c>
      <c r="E62" s="765"/>
      <c r="F62" s="800"/>
      <c r="G62" s="785"/>
    </row>
    <row r="63" spans="1:7" s="784" customFormat="1" x14ac:dyDescent="0.2">
      <c r="A63" s="822" t="s">
        <v>612</v>
      </c>
      <c r="B63" s="1184">
        <f>'7. Energy'!B45</f>
        <v>3</v>
      </c>
      <c r="C63" s="804">
        <v>3</v>
      </c>
      <c r="D63" s="1299" t="s">
        <v>465</v>
      </c>
      <c r="E63" s="1299"/>
      <c r="F63" s="1300"/>
      <c r="G63" s="1301"/>
    </row>
    <row r="64" spans="1:7" x14ac:dyDescent="0.2">
      <c r="A64" s="822" t="s">
        <v>613</v>
      </c>
      <c r="B64" s="1184">
        <f>'7. Energy'!B46</f>
        <v>2</v>
      </c>
      <c r="C64" s="1045">
        <v>2</v>
      </c>
      <c r="D64" s="1294" t="s">
        <v>61</v>
      </c>
      <c r="E64" s="1294"/>
      <c r="F64" s="1293"/>
      <c r="G64" s="1288"/>
    </row>
    <row r="65" spans="1:7" ht="15" hidden="1" customHeight="1" x14ac:dyDescent="0.2">
      <c r="A65" s="822" t="s">
        <v>614</v>
      </c>
      <c r="B65" s="1184">
        <f>'7. Energy'!B47</f>
        <v>0</v>
      </c>
      <c r="C65" s="804">
        <v>1</v>
      </c>
      <c r="D65" s="1180" t="s">
        <v>894</v>
      </c>
      <c r="E65" s="1181"/>
      <c r="F65" s="800"/>
      <c r="G65" s="785"/>
    </row>
    <row r="66" spans="1:7" hidden="1" x14ac:dyDescent="0.2">
      <c r="A66" s="822" t="s">
        <v>893</v>
      </c>
      <c r="B66" s="1016" t="s">
        <v>75</v>
      </c>
      <c r="C66" s="869">
        <v>1</v>
      </c>
      <c r="D66" s="1436" t="s">
        <v>960</v>
      </c>
      <c r="E66" s="1436"/>
      <c r="F66" s="800"/>
      <c r="G66" s="785"/>
    </row>
    <row r="67" spans="1:7" ht="16" x14ac:dyDescent="0.2">
      <c r="A67" s="1067"/>
      <c r="B67" s="1068">
        <f>'7. Energy'!B49</f>
        <v>43</v>
      </c>
      <c r="C67" s="1069">
        <v>112</v>
      </c>
      <c r="D67" s="1070" t="s">
        <v>62</v>
      </c>
      <c r="E67" s="1070"/>
      <c r="F67" s="1071"/>
      <c r="G67" s="785"/>
    </row>
    <row r="68" spans="1:7" ht="16" x14ac:dyDescent="0.2">
      <c r="A68" s="809"/>
      <c r="B68" s="765"/>
      <c r="C68" s="765"/>
      <c r="D68" s="765"/>
      <c r="E68" s="765"/>
      <c r="F68" s="800"/>
      <c r="G68" s="785"/>
    </row>
    <row r="69" spans="1:7" ht="21" customHeight="1" x14ac:dyDescent="0.25">
      <c r="A69" s="809"/>
      <c r="B69" s="772">
        <f>'7. Energy'!B51</f>
        <v>43</v>
      </c>
      <c r="C69" s="812" t="s">
        <v>63</v>
      </c>
      <c r="D69" s="812"/>
      <c r="E69" s="812"/>
      <c r="F69" s="800"/>
      <c r="G69" s="785"/>
    </row>
    <row r="70" spans="1:7" x14ac:dyDescent="0.2">
      <c r="A70" s="813" t="s">
        <v>64</v>
      </c>
      <c r="B70" s="1189"/>
      <c r="C70" s="1189"/>
      <c r="D70" s="1476">
        <f>'7. Energy'!E53</f>
        <v>0</v>
      </c>
      <c r="E70" s="1476"/>
      <c r="F70" s="1476"/>
      <c r="G70" s="1477"/>
    </row>
    <row r="71" spans="1:7" ht="16" thickBot="1" x14ac:dyDescent="0.25">
      <c r="A71" s="1182" t="s">
        <v>65</v>
      </c>
      <c r="B71" s="1183"/>
      <c r="C71" s="1183"/>
      <c r="D71" s="1480">
        <f>'7. Energy'!E54</f>
        <v>0</v>
      </c>
      <c r="E71" s="1480"/>
      <c r="F71" s="1480"/>
      <c r="G71" s="1481"/>
    </row>
    <row r="72" spans="1:7" ht="19" x14ac:dyDescent="0.25">
      <c r="A72" s="780" t="s">
        <v>776</v>
      </c>
      <c r="B72" s="781"/>
      <c r="C72" s="781"/>
      <c r="D72" s="781"/>
      <c r="E72" s="781"/>
      <c r="F72" s="781"/>
      <c r="G72" s="1014" t="str">
        <f>'1. Instructions'!B2</f>
        <v>Version 12 Rev 1.0</v>
      </c>
    </row>
    <row r="73" spans="1:7" ht="16" x14ac:dyDescent="0.2">
      <c r="A73" s="817" t="s">
        <v>149</v>
      </c>
      <c r="B73" s="818"/>
      <c r="C73" s="818"/>
      <c r="D73" s="818"/>
      <c r="E73" s="818"/>
      <c r="F73" s="818"/>
      <c r="G73" s="1007" t="str">
        <f>'1. Instructions'!B5</f>
        <v>Revised 4-5-2022</v>
      </c>
    </row>
    <row r="74" spans="1:7" ht="16" x14ac:dyDescent="0.2">
      <c r="A74" s="819" t="str">
        <f>'8. Water'!A3</f>
        <v>N/A</v>
      </c>
      <c r="B74" s="820"/>
      <c r="C74" s="821" t="s">
        <v>20</v>
      </c>
      <c r="D74" s="821"/>
      <c r="E74" s="821"/>
      <c r="F74" s="821"/>
      <c r="G74" s="785"/>
    </row>
    <row r="75" spans="1:7" ht="16" x14ac:dyDescent="0.2">
      <c r="A75" s="777" t="s">
        <v>1192</v>
      </c>
      <c r="B75" s="775"/>
      <c r="C75" s="775"/>
      <c r="D75" s="775"/>
      <c r="E75" s="775"/>
      <c r="F75" s="795"/>
      <c r="G75" s="785"/>
    </row>
    <row r="76" spans="1:7" x14ac:dyDescent="0.2">
      <c r="A76" s="822" t="s">
        <v>1048</v>
      </c>
      <c r="B76" s="1184">
        <f>'8. Water'!B6</f>
        <v>3</v>
      </c>
      <c r="C76" s="805">
        <v>3</v>
      </c>
      <c r="D76" s="1286" t="s">
        <v>73</v>
      </c>
      <c r="E76" s="1286"/>
      <c r="F76" s="1292"/>
      <c r="G76" s="1288"/>
    </row>
    <row r="77" spans="1:7" x14ac:dyDescent="0.2">
      <c r="A77" s="822" t="s">
        <v>1049</v>
      </c>
      <c r="B77" s="1184">
        <f>'8. Water'!B7</f>
        <v>1</v>
      </c>
      <c r="C77" s="805">
        <v>1</v>
      </c>
      <c r="D77" s="1286" t="s">
        <v>931</v>
      </c>
      <c r="E77" s="1286"/>
      <c r="F77" s="1292"/>
      <c r="G77" s="1288"/>
    </row>
    <row r="78" spans="1:7" s="784" customFormat="1" x14ac:dyDescent="0.2">
      <c r="A78" s="822" t="s">
        <v>1050</v>
      </c>
      <c r="B78" s="1184">
        <f>'8. Water'!B8</f>
        <v>1</v>
      </c>
      <c r="C78" s="805">
        <v>1</v>
      </c>
      <c r="D78" s="1286" t="s">
        <v>968</v>
      </c>
      <c r="E78" s="1286"/>
      <c r="F78" s="1292"/>
      <c r="G78" s="1288"/>
    </row>
    <row r="79" spans="1:7" x14ac:dyDescent="0.2">
      <c r="A79" s="822" t="s">
        <v>1051</v>
      </c>
      <c r="B79" s="1184">
        <f>'8. Water'!B9</f>
        <v>1</v>
      </c>
      <c r="C79" s="805" t="s">
        <v>47</v>
      </c>
      <c r="D79" s="1286" t="s">
        <v>1014</v>
      </c>
      <c r="E79" s="1286"/>
      <c r="F79" s="1292"/>
      <c r="G79" s="1288"/>
    </row>
    <row r="80" spans="1:7" x14ac:dyDescent="0.2">
      <c r="A80" s="822" t="s">
        <v>1052</v>
      </c>
      <c r="B80" s="1184">
        <f>'8. Water'!B10</f>
        <v>2</v>
      </c>
      <c r="C80" s="805" t="s">
        <v>1245</v>
      </c>
      <c r="D80" s="1286" t="s">
        <v>772</v>
      </c>
      <c r="E80" s="1286"/>
      <c r="F80" s="1292"/>
      <c r="G80" s="1288"/>
    </row>
    <row r="81" spans="1:8" x14ac:dyDescent="0.2">
      <c r="A81" s="822" t="s">
        <v>1053</v>
      </c>
      <c r="B81" s="1184">
        <f>'8. Water'!B11</f>
        <v>1</v>
      </c>
      <c r="C81" s="805">
        <v>1</v>
      </c>
      <c r="D81" s="1449" t="s">
        <v>1247</v>
      </c>
      <c r="E81" s="1449"/>
      <c r="F81" s="1292"/>
      <c r="G81" s="1288"/>
    </row>
    <row r="82" spans="1:8" x14ac:dyDescent="0.2">
      <c r="A82" s="822" t="s">
        <v>1193</v>
      </c>
      <c r="B82" s="1184">
        <f>'8. Water'!B12</f>
        <v>0</v>
      </c>
      <c r="C82" s="805">
        <v>1</v>
      </c>
      <c r="D82" s="1449" t="s">
        <v>1194</v>
      </c>
      <c r="E82" s="1449"/>
      <c r="F82" s="1328"/>
      <c r="G82" s="1288"/>
    </row>
    <row r="83" spans="1:8" ht="15" hidden="1" customHeight="1" x14ac:dyDescent="0.2">
      <c r="A83" s="777" t="s">
        <v>778</v>
      </c>
      <c r="B83" s="775"/>
      <c r="C83" s="775"/>
      <c r="D83" s="775"/>
      <c r="E83" s="775"/>
      <c r="F83" s="1185"/>
      <c r="G83" s="785"/>
    </row>
    <row r="84" spans="1:8" hidden="1" x14ac:dyDescent="0.2">
      <c r="A84" s="796" t="s">
        <v>1054</v>
      </c>
      <c r="B84" s="1184">
        <f>'8. Water'!B15</f>
        <v>0</v>
      </c>
      <c r="C84" s="805" t="s">
        <v>933</v>
      </c>
      <c r="D84" s="1484" t="s">
        <v>970</v>
      </c>
      <c r="E84" s="1484"/>
      <c r="F84" s="1185"/>
      <c r="G84" s="785"/>
    </row>
    <row r="85" spans="1:8" ht="16" hidden="1" x14ac:dyDescent="0.2">
      <c r="A85" s="777" t="s">
        <v>779</v>
      </c>
      <c r="B85" s="775"/>
      <c r="C85" s="775"/>
      <c r="D85" s="775"/>
      <c r="E85" s="775"/>
      <c r="F85" s="1185"/>
      <c r="G85" s="785"/>
    </row>
    <row r="86" spans="1:8" hidden="1" x14ac:dyDescent="0.2">
      <c r="A86" s="824" t="s">
        <v>1055</v>
      </c>
      <c r="B86" s="1184">
        <f>'8. Water'!B18</f>
        <v>0</v>
      </c>
      <c r="C86" s="805" t="s">
        <v>1384</v>
      </c>
      <c r="D86" s="1469" t="s">
        <v>1248</v>
      </c>
      <c r="E86" s="1469"/>
      <c r="F86" s="1469"/>
      <c r="G86" s="1470"/>
      <c r="H86" s="1036"/>
    </row>
    <row r="87" spans="1:8" ht="16" x14ac:dyDescent="0.2">
      <c r="A87" s="777" t="s">
        <v>780</v>
      </c>
      <c r="B87" s="775"/>
      <c r="C87" s="775"/>
      <c r="D87" s="760"/>
      <c r="E87" s="760"/>
      <c r="F87" s="1185"/>
      <c r="G87" s="785"/>
    </row>
    <row r="88" spans="1:8" x14ac:dyDescent="0.2">
      <c r="A88" s="822" t="s">
        <v>1056</v>
      </c>
      <c r="B88" s="1184">
        <f>'8. Water'!B21</f>
        <v>0</v>
      </c>
      <c r="C88" s="805">
        <v>2</v>
      </c>
      <c r="D88" s="760" t="s">
        <v>88</v>
      </c>
      <c r="E88" s="760"/>
      <c r="F88" s="1185"/>
      <c r="G88" s="785"/>
    </row>
    <row r="89" spans="1:8" x14ac:dyDescent="0.2">
      <c r="A89" s="822" t="s">
        <v>1057</v>
      </c>
      <c r="B89" s="1184">
        <f>'8. Water'!B22</f>
        <v>0</v>
      </c>
      <c r="C89" s="805">
        <v>2</v>
      </c>
      <c r="D89" s="760" t="s">
        <v>89</v>
      </c>
      <c r="E89" s="760"/>
      <c r="F89" s="1185"/>
      <c r="G89" s="785"/>
    </row>
    <row r="90" spans="1:8" x14ac:dyDescent="0.2">
      <c r="A90" s="822" t="s">
        <v>1058</v>
      </c>
      <c r="B90" s="1184">
        <f>'8. Water'!B23</f>
        <v>0</v>
      </c>
      <c r="C90" s="805">
        <v>2</v>
      </c>
      <c r="D90" s="760" t="s">
        <v>496</v>
      </c>
      <c r="E90" s="760"/>
      <c r="F90" s="1185"/>
      <c r="G90" s="785"/>
    </row>
    <row r="91" spans="1:8" x14ac:dyDescent="0.2">
      <c r="A91" s="822" t="s">
        <v>1059</v>
      </c>
      <c r="B91" s="1184">
        <f>'8. Water'!B24</f>
        <v>0</v>
      </c>
      <c r="C91" s="805">
        <v>2</v>
      </c>
      <c r="D91" s="760" t="s">
        <v>91</v>
      </c>
      <c r="E91" s="760"/>
      <c r="F91" s="1185"/>
      <c r="G91" s="785"/>
    </row>
    <row r="92" spans="1:8" ht="16" x14ac:dyDescent="0.2">
      <c r="A92" s="777" t="s">
        <v>781</v>
      </c>
      <c r="B92" s="775"/>
      <c r="C92" s="775"/>
      <c r="D92" s="760"/>
      <c r="E92" s="760"/>
      <c r="F92" s="1185"/>
      <c r="G92" s="785"/>
    </row>
    <row r="93" spans="1:8" x14ac:dyDescent="0.2">
      <c r="A93" s="796" t="s">
        <v>1060</v>
      </c>
      <c r="B93" s="773">
        <f>'8. Water'!B27</f>
        <v>3</v>
      </c>
      <c r="C93" s="1027" t="s">
        <v>1245</v>
      </c>
      <c r="D93" s="1304" t="s">
        <v>497</v>
      </c>
      <c r="E93" s="1286"/>
      <c r="F93" s="1292"/>
      <c r="G93" s="1288"/>
    </row>
    <row r="94" spans="1:8" x14ac:dyDescent="0.2">
      <c r="A94" s="796" t="s">
        <v>1061</v>
      </c>
      <c r="B94" s="1184">
        <f>'8. Water'!B28</f>
        <v>0</v>
      </c>
      <c r="C94" s="1029" t="s">
        <v>93</v>
      </c>
      <c r="D94" s="760" t="s">
        <v>559</v>
      </c>
      <c r="E94" s="760"/>
      <c r="F94" s="1185"/>
      <c r="G94" s="785"/>
    </row>
    <row r="95" spans="1:8" x14ac:dyDescent="0.2">
      <c r="A95" s="799"/>
      <c r="B95" s="765"/>
      <c r="C95" s="765"/>
      <c r="D95" s="825" t="str">
        <f>'8. Water'!D29</f>
        <v>-</v>
      </c>
      <c r="E95" s="1042" t="s">
        <v>94</v>
      </c>
      <c r="F95" s="1042"/>
      <c r="G95" s="785"/>
    </row>
    <row r="96" spans="1:8" x14ac:dyDescent="0.2">
      <c r="A96" s="822" t="s">
        <v>1062</v>
      </c>
      <c r="B96" s="773">
        <f>'8. Water'!B30</f>
        <v>0</v>
      </c>
      <c r="C96" s="1027">
        <v>2</v>
      </c>
      <c r="D96" s="831" t="s">
        <v>977</v>
      </c>
      <c r="E96" s="760"/>
      <c r="F96" s="1185"/>
      <c r="G96" s="785"/>
    </row>
    <row r="97" spans="1:7" x14ac:dyDescent="0.2">
      <c r="A97" s="822" t="s">
        <v>1063</v>
      </c>
      <c r="B97" s="1184">
        <f>'8. Water'!B31</f>
        <v>0</v>
      </c>
      <c r="C97" s="1027">
        <v>3</v>
      </c>
      <c r="D97" s="760" t="s">
        <v>96</v>
      </c>
      <c r="E97" s="760"/>
      <c r="F97" s="1185"/>
      <c r="G97" s="785"/>
    </row>
    <row r="98" spans="1:7" x14ac:dyDescent="0.2">
      <c r="A98" s="822" t="s">
        <v>1064</v>
      </c>
      <c r="B98" s="1184">
        <f>'8. Water'!B32</f>
        <v>0</v>
      </c>
      <c r="C98" s="1027">
        <v>2</v>
      </c>
      <c r="D98" s="760" t="s">
        <v>978</v>
      </c>
      <c r="E98" s="760"/>
      <c r="F98" s="1185"/>
      <c r="G98" s="785"/>
    </row>
    <row r="99" spans="1:7" x14ac:dyDescent="0.2">
      <c r="A99" s="822" t="s">
        <v>1065</v>
      </c>
      <c r="B99" s="773">
        <f>'8. Water'!B33</f>
        <v>0</v>
      </c>
      <c r="C99" s="1027">
        <v>2</v>
      </c>
      <c r="D99" s="831" t="s">
        <v>98</v>
      </c>
      <c r="E99" s="760"/>
      <c r="F99" s="1185"/>
      <c r="G99" s="785"/>
    </row>
    <row r="100" spans="1:7" x14ac:dyDescent="0.2">
      <c r="A100" s="822" t="s">
        <v>1066</v>
      </c>
      <c r="B100" s="1184">
        <f>'8. Water'!B34</f>
        <v>0</v>
      </c>
      <c r="C100" s="1027">
        <v>1</v>
      </c>
      <c r="D100" s="1028" t="s">
        <v>560</v>
      </c>
      <c r="E100" s="1028"/>
      <c r="F100" s="1042"/>
      <c r="G100" s="785"/>
    </row>
    <row r="101" spans="1:7" x14ac:dyDescent="0.2">
      <c r="A101" s="822" t="s">
        <v>1067</v>
      </c>
      <c r="B101" s="1184">
        <f>'8. Water'!B35</f>
        <v>0</v>
      </c>
      <c r="C101" s="1027">
        <v>1</v>
      </c>
      <c r="D101" s="1028" t="s">
        <v>100</v>
      </c>
      <c r="E101" s="1028"/>
      <c r="F101" s="1185"/>
      <c r="G101" s="785"/>
    </row>
    <row r="102" spans="1:7" x14ac:dyDescent="0.2">
      <c r="A102" s="822" t="s">
        <v>1068</v>
      </c>
      <c r="B102" s="1184">
        <f>'8. Water'!B36</f>
        <v>0</v>
      </c>
      <c r="C102" s="1027">
        <v>2</v>
      </c>
      <c r="D102" s="1028" t="s">
        <v>101</v>
      </c>
      <c r="E102" s="1028"/>
      <c r="F102" s="1185"/>
      <c r="G102" s="785"/>
    </row>
    <row r="103" spans="1:7" ht="16" x14ac:dyDescent="0.2">
      <c r="A103" s="826" t="s">
        <v>782</v>
      </c>
      <c r="B103" s="827"/>
      <c r="C103" s="827"/>
      <c r="D103" s="827"/>
      <c r="E103" s="827"/>
      <c r="F103" s="1185"/>
      <c r="G103" s="785"/>
    </row>
    <row r="104" spans="1:7" x14ac:dyDescent="0.2">
      <c r="A104" s="796" t="s">
        <v>1069</v>
      </c>
      <c r="B104" s="773">
        <f>'8. Water'!B39</f>
        <v>0</v>
      </c>
      <c r="C104" s="828">
        <v>10</v>
      </c>
      <c r="D104" s="1299" t="s">
        <v>102</v>
      </c>
      <c r="E104" s="1299"/>
      <c r="F104" s="1300"/>
      <c r="G104" s="1301"/>
    </row>
    <row r="105" spans="1:7" hidden="1" x14ac:dyDescent="0.2">
      <c r="A105" s="796" t="s">
        <v>1070</v>
      </c>
      <c r="B105" s="1184">
        <f>'8. Water'!B40</f>
        <v>0</v>
      </c>
      <c r="C105" s="828">
        <v>2</v>
      </c>
      <c r="D105" s="760" t="s">
        <v>103</v>
      </c>
      <c r="E105" s="760"/>
      <c r="F105" s="1185"/>
      <c r="G105" s="785"/>
    </row>
    <row r="106" spans="1:7" hidden="1" x14ac:dyDescent="0.2">
      <c r="A106" s="799"/>
      <c r="B106" s="765"/>
      <c r="C106" s="828"/>
      <c r="D106" s="787"/>
      <c r="E106" s="803"/>
      <c r="F106" s="1185"/>
      <c r="G106" s="785"/>
    </row>
    <row r="107" spans="1:7" s="784" customFormat="1" hidden="1" x14ac:dyDescent="0.2">
      <c r="A107" s="822" t="s">
        <v>1299</v>
      </c>
      <c r="B107" s="773">
        <f>'8. Water'!B42</f>
        <v>0</v>
      </c>
      <c r="C107" s="828" t="s">
        <v>973</v>
      </c>
      <c r="D107" s="787" t="s">
        <v>982</v>
      </c>
      <c r="E107" s="803"/>
      <c r="F107" s="1185"/>
      <c r="G107" s="785"/>
    </row>
    <row r="108" spans="1:7" s="784" customFormat="1" hidden="1" x14ac:dyDescent="0.2">
      <c r="A108" s="822" t="s">
        <v>1300</v>
      </c>
      <c r="B108" s="773">
        <f>'8. Water'!B49</f>
        <v>0</v>
      </c>
      <c r="C108" s="828">
        <v>5</v>
      </c>
      <c r="D108" s="1450" t="s">
        <v>1385</v>
      </c>
      <c r="E108" s="1450"/>
      <c r="F108" s="1450"/>
      <c r="G108" s="1451"/>
    </row>
    <row r="109" spans="1:7" s="784" customFormat="1" hidden="1" x14ac:dyDescent="0.2">
      <c r="A109" s="822" t="s">
        <v>1071</v>
      </c>
      <c r="B109" s="1184">
        <f>'8. Water'!B54</f>
        <v>0</v>
      </c>
      <c r="C109" s="828">
        <v>1</v>
      </c>
      <c r="D109" s="787" t="s">
        <v>571</v>
      </c>
      <c r="E109" s="787"/>
      <c r="F109" s="1185"/>
      <c r="G109" s="785"/>
    </row>
    <row r="110" spans="1:7" hidden="1" x14ac:dyDescent="0.2">
      <c r="A110" s="824" t="s">
        <v>1072</v>
      </c>
      <c r="B110" s="1184">
        <f>'8. Water'!B55</f>
        <v>0</v>
      </c>
      <c r="C110" s="1043">
        <v>1</v>
      </c>
      <c r="D110" s="787" t="s">
        <v>446</v>
      </c>
      <c r="E110" s="787"/>
      <c r="F110" s="1185"/>
      <c r="G110" s="785"/>
    </row>
    <row r="111" spans="1:7" ht="14" hidden="1" customHeight="1" x14ac:dyDescent="0.2">
      <c r="A111" s="824" t="s">
        <v>1073</v>
      </c>
      <c r="B111" s="1184">
        <f>'8. Water'!B56</f>
        <v>0</v>
      </c>
      <c r="C111" s="1027">
        <v>2</v>
      </c>
      <c r="D111" s="787" t="s">
        <v>962</v>
      </c>
      <c r="E111" s="787"/>
      <c r="F111" s="1185"/>
      <c r="G111" s="785"/>
    </row>
    <row r="112" spans="1:7" ht="14" hidden="1" customHeight="1" x14ac:dyDescent="0.2">
      <c r="A112" s="824" t="s">
        <v>1074</v>
      </c>
      <c r="B112" s="1184">
        <f>'8. Water'!B57</f>
        <v>0</v>
      </c>
      <c r="C112" s="1043">
        <v>1</v>
      </c>
      <c r="D112" s="787" t="s">
        <v>965</v>
      </c>
      <c r="E112" s="787"/>
      <c r="F112" s="1185"/>
      <c r="G112" s="785"/>
    </row>
    <row r="113" spans="1:7" ht="16" hidden="1" x14ac:dyDescent="0.2">
      <c r="A113" s="826" t="s">
        <v>783</v>
      </c>
      <c r="B113" s="827"/>
      <c r="C113" s="827"/>
      <c r="D113" s="787"/>
      <c r="E113" s="787"/>
      <c r="F113" s="1185"/>
      <c r="G113" s="785"/>
    </row>
    <row r="114" spans="1:7" hidden="1" x14ac:dyDescent="0.2">
      <c r="A114" s="822" t="s">
        <v>1075</v>
      </c>
      <c r="B114" s="1184">
        <f>'8. Water'!B60</f>
        <v>0</v>
      </c>
      <c r="C114" s="805">
        <v>5</v>
      </c>
      <c r="D114" s="787" t="s">
        <v>760</v>
      </c>
      <c r="E114" s="787"/>
      <c r="F114" s="1185"/>
      <c r="G114" s="785"/>
    </row>
    <row r="115" spans="1:7" ht="17" hidden="1" x14ac:dyDescent="0.2">
      <c r="A115" s="822" t="s">
        <v>1076</v>
      </c>
      <c r="B115" s="1184">
        <f>'8. Water'!B61</f>
        <v>0</v>
      </c>
      <c r="C115" s="805">
        <v>2</v>
      </c>
      <c r="D115" s="787" t="s">
        <v>948</v>
      </c>
      <c r="E115" s="787"/>
      <c r="F115" s="1185"/>
      <c r="G115" s="785"/>
    </row>
    <row r="116" spans="1:7" x14ac:dyDescent="0.2">
      <c r="A116" s="1060"/>
      <c r="B116" s="1061">
        <f>'8. Water'!B62</f>
        <v>12</v>
      </c>
      <c r="C116" s="1072">
        <v>56</v>
      </c>
      <c r="D116" s="1071" t="s">
        <v>111</v>
      </c>
      <c r="E116" s="1071"/>
      <c r="F116" s="1065"/>
      <c r="G116" s="785"/>
    </row>
    <row r="117" spans="1:7" x14ac:dyDescent="0.2">
      <c r="A117" s="799"/>
      <c r="B117" s="765"/>
      <c r="C117" s="765"/>
      <c r="D117" s="765"/>
      <c r="E117" s="765"/>
      <c r="F117" s="760"/>
      <c r="G117" s="785"/>
    </row>
    <row r="118" spans="1:7" ht="19" x14ac:dyDescent="0.25">
      <c r="A118" s="799"/>
      <c r="B118" s="772">
        <f>'8. Water'!B64</f>
        <v>12</v>
      </c>
      <c r="C118" s="833" t="s">
        <v>112</v>
      </c>
      <c r="D118" s="833"/>
      <c r="E118" s="833"/>
      <c r="F118" s="760"/>
      <c r="G118" s="785"/>
    </row>
    <row r="119" spans="1:7" ht="21" customHeight="1" x14ac:dyDescent="0.2">
      <c r="A119" s="834" t="s">
        <v>113</v>
      </c>
      <c r="B119" s="835"/>
      <c r="C119" s="835"/>
      <c r="D119" s="1476">
        <f>'8. Water'!E66</f>
        <v>0</v>
      </c>
      <c r="E119" s="1476"/>
      <c r="F119" s="1476"/>
      <c r="G119" s="1477"/>
    </row>
    <row r="120" spans="1:7" x14ac:dyDescent="0.2">
      <c r="A120" s="834" t="s">
        <v>784</v>
      </c>
      <c r="B120" s="835"/>
      <c r="C120" s="835"/>
      <c r="D120" s="1478">
        <f>'8. Water'!E67</f>
        <v>0</v>
      </c>
      <c r="E120" s="1478"/>
      <c r="F120" s="1478"/>
      <c r="G120" s="1479"/>
    </row>
    <row r="121" spans="1:7" ht="16" thickBot="1" x14ac:dyDescent="0.25">
      <c r="A121" s="836" t="s">
        <v>494</v>
      </c>
      <c r="B121" s="837"/>
      <c r="C121" s="837"/>
      <c r="D121" s="1480">
        <f>'8. Water'!E68</f>
        <v>0</v>
      </c>
      <c r="E121" s="1480"/>
      <c r="F121" s="1480"/>
      <c r="G121" s="1481"/>
    </row>
    <row r="122" spans="1:7" ht="19" x14ac:dyDescent="0.25">
      <c r="A122" s="780" t="s">
        <v>786</v>
      </c>
      <c r="B122" s="781"/>
      <c r="C122" s="781"/>
      <c r="D122" s="781"/>
      <c r="E122" s="781"/>
      <c r="F122" s="781"/>
      <c r="G122" s="1014" t="str">
        <f>'1. Instructions'!B2</f>
        <v>Version 12 Rev 1.0</v>
      </c>
    </row>
    <row r="123" spans="1:7" ht="16" x14ac:dyDescent="0.2">
      <c r="A123" s="794" t="s">
        <v>162</v>
      </c>
      <c r="B123" s="1178"/>
      <c r="C123" s="1178"/>
      <c r="D123" s="1178"/>
      <c r="E123" s="1178"/>
      <c r="F123" s="1178"/>
      <c r="G123" s="1007" t="str">
        <f>'1. Instructions'!B5</f>
        <v>Revised 4-5-2022</v>
      </c>
    </row>
    <row r="124" spans="1:7" x14ac:dyDescent="0.2">
      <c r="A124" s="822" t="s">
        <v>1077</v>
      </c>
      <c r="B124" s="1184">
        <f>'9. Lot Choice'!B5</f>
        <v>0</v>
      </c>
      <c r="C124" s="804" t="s">
        <v>150</v>
      </c>
      <c r="D124" s="765" t="s">
        <v>151</v>
      </c>
      <c r="E124" s="765"/>
      <c r="F124" s="765"/>
      <c r="G124" s="851"/>
    </row>
    <row r="125" spans="1:7" ht="16" x14ac:dyDescent="0.2">
      <c r="A125" s="799"/>
      <c r="B125" s="765"/>
      <c r="C125" s="765"/>
      <c r="D125" s="1452">
        <f>'9. Lot Choice'!E6</f>
        <v>0</v>
      </c>
      <c r="E125" s="1452"/>
      <c r="F125" s="1178" t="s">
        <v>785</v>
      </c>
      <c r="G125" s="851"/>
    </row>
    <row r="126" spans="1:7" x14ac:dyDescent="0.2">
      <c r="A126" s="822" t="s">
        <v>1078</v>
      </c>
      <c r="B126" s="1184">
        <f>'9. Lot Choice'!B7</f>
        <v>0</v>
      </c>
      <c r="C126" s="804">
        <v>2</v>
      </c>
      <c r="D126" s="765" t="s">
        <v>153</v>
      </c>
      <c r="E126" s="765"/>
      <c r="F126" s="765"/>
      <c r="G126" s="851"/>
    </row>
    <row r="127" spans="1:7" x14ac:dyDescent="0.2">
      <c r="A127" s="822" t="s">
        <v>1079</v>
      </c>
      <c r="B127" s="1184">
        <f>'9. Lot Choice'!B8</f>
        <v>0</v>
      </c>
      <c r="C127" s="804">
        <v>2</v>
      </c>
      <c r="D127" s="765" t="s">
        <v>575</v>
      </c>
      <c r="E127" s="765"/>
      <c r="F127" s="765"/>
      <c r="G127" s="851"/>
    </row>
    <row r="128" spans="1:7" x14ac:dyDescent="0.2">
      <c r="A128" s="822" t="s">
        <v>1080</v>
      </c>
      <c r="B128" s="1184">
        <f>'9. Lot Choice'!B9</f>
        <v>0</v>
      </c>
      <c r="C128" s="804">
        <v>1</v>
      </c>
      <c r="D128" s="765" t="s">
        <v>574</v>
      </c>
      <c r="E128" s="765"/>
      <c r="F128" s="765"/>
      <c r="G128" s="851"/>
    </row>
    <row r="129" spans="1:7" x14ac:dyDescent="0.2">
      <c r="A129" s="822" t="s">
        <v>1081</v>
      </c>
      <c r="B129" s="1184">
        <f>'9. Lot Choice'!B10</f>
        <v>0</v>
      </c>
      <c r="C129" s="804">
        <v>2</v>
      </c>
      <c r="D129" s="765" t="s">
        <v>468</v>
      </c>
      <c r="E129" s="765"/>
      <c r="F129" s="765"/>
      <c r="G129" s="851"/>
    </row>
    <row r="130" spans="1:7" x14ac:dyDescent="0.2">
      <c r="A130" s="822" t="s">
        <v>1082</v>
      </c>
      <c r="B130" s="1184">
        <f>'9. Lot Choice'!B11</f>
        <v>0</v>
      </c>
      <c r="C130" s="804">
        <v>2</v>
      </c>
      <c r="D130" s="765" t="s">
        <v>156</v>
      </c>
      <c r="E130" s="765"/>
      <c r="F130" s="765"/>
      <c r="G130" s="851"/>
    </row>
    <row r="131" spans="1:7" x14ac:dyDescent="0.2">
      <c r="A131" s="822" t="s">
        <v>1083</v>
      </c>
      <c r="B131" s="1184" t="str">
        <f>'9. Lot Choice'!B12</f>
        <v xml:space="preserve"> </v>
      </c>
      <c r="C131" s="804">
        <v>2</v>
      </c>
      <c r="D131" s="765" t="s">
        <v>840</v>
      </c>
      <c r="E131" s="765"/>
      <c r="F131" s="765"/>
      <c r="G131" s="851"/>
    </row>
    <row r="132" spans="1:7" x14ac:dyDescent="0.2">
      <c r="A132" s="799"/>
      <c r="B132" s="765"/>
      <c r="C132" s="765"/>
      <c r="D132" s="1184">
        <f>'9. Lot Choice'!D13</f>
        <v>0</v>
      </c>
      <c r="E132" s="835" t="s">
        <v>163</v>
      </c>
      <c r="F132" s="835"/>
      <c r="G132" s="843"/>
    </row>
    <row r="133" spans="1:7" x14ac:dyDescent="0.2">
      <c r="A133" s="799"/>
      <c r="B133" s="765"/>
      <c r="C133" s="765"/>
      <c r="D133" s="1184">
        <f>'9. Lot Choice'!D14</f>
        <v>0</v>
      </c>
      <c r="E133" s="835" t="s">
        <v>164</v>
      </c>
      <c r="F133" s="835"/>
      <c r="G133" s="843"/>
    </row>
    <row r="134" spans="1:7" x14ac:dyDescent="0.2">
      <c r="A134" s="799"/>
      <c r="B134" s="765"/>
      <c r="C134" s="765"/>
      <c r="D134" s="1184">
        <f>'9. Lot Choice'!D15</f>
        <v>0</v>
      </c>
      <c r="E134" s="835" t="s">
        <v>165</v>
      </c>
      <c r="F134" s="835"/>
      <c r="G134" s="843"/>
    </row>
    <row r="135" spans="1:7" x14ac:dyDescent="0.2">
      <c r="A135" s="799"/>
      <c r="B135" s="765"/>
      <c r="C135" s="765"/>
      <c r="D135" s="1184">
        <f>'9. Lot Choice'!D16</f>
        <v>0</v>
      </c>
      <c r="E135" s="835" t="s">
        <v>166</v>
      </c>
      <c r="F135" s="835"/>
      <c r="G135" s="843"/>
    </row>
    <row r="136" spans="1:7" x14ac:dyDescent="0.2">
      <c r="A136" s="799"/>
      <c r="B136" s="765"/>
      <c r="C136" s="765"/>
      <c r="D136" s="1184">
        <f>'9. Lot Choice'!D17</f>
        <v>0</v>
      </c>
      <c r="E136" s="835" t="s">
        <v>167</v>
      </c>
      <c r="F136" s="835"/>
      <c r="G136" s="843"/>
    </row>
    <row r="137" spans="1:7" x14ac:dyDescent="0.2">
      <c r="A137" s="799"/>
      <c r="B137" s="765"/>
      <c r="C137" s="765"/>
      <c r="D137" s="1184">
        <f>'9. Lot Choice'!D18</f>
        <v>0</v>
      </c>
      <c r="E137" s="835" t="s">
        <v>168</v>
      </c>
      <c r="F137" s="835"/>
      <c r="G137" s="843"/>
    </row>
    <row r="138" spans="1:7" x14ac:dyDescent="0.2">
      <c r="A138" s="799"/>
      <c r="B138" s="765"/>
      <c r="C138" s="765"/>
      <c r="D138" s="1184">
        <f>'9. Lot Choice'!D19</f>
        <v>0</v>
      </c>
      <c r="E138" s="835" t="s">
        <v>169</v>
      </c>
      <c r="F138" s="835"/>
      <c r="G138" s="843"/>
    </row>
    <row r="139" spans="1:7" x14ac:dyDescent="0.2">
      <c r="A139" s="799"/>
      <c r="B139" s="765"/>
      <c r="C139" s="765"/>
      <c r="D139" s="1184">
        <f>'9. Lot Choice'!D20</f>
        <v>0</v>
      </c>
      <c r="E139" s="835" t="s">
        <v>170</v>
      </c>
      <c r="F139" s="835"/>
      <c r="G139" s="843"/>
    </row>
    <row r="140" spans="1:7" x14ac:dyDescent="0.2">
      <c r="A140" s="799"/>
      <c r="B140" s="765"/>
      <c r="C140" s="765"/>
      <c r="D140" s="1184">
        <f>'9. Lot Choice'!D21</f>
        <v>0</v>
      </c>
      <c r="E140" s="835" t="s">
        <v>171</v>
      </c>
      <c r="F140" s="835"/>
      <c r="G140" s="843"/>
    </row>
    <row r="141" spans="1:7" x14ac:dyDescent="0.2">
      <c r="A141" s="799"/>
      <c r="B141" s="765"/>
      <c r="C141" s="765"/>
      <c r="D141" s="1184">
        <f>'9. Lot Choice'!D22</f>
        <v>0</v>
      </c>
      <c r="E141" s="835" t="s">
        <v>172</v>
      </c>
      <c r="F141" s="835"/>
      <c r="G141" s="843"/>
    </row>
    <row r="142" spans="1:7" x14ac:dyDescent="0.2">
      <c r="A142" s="799"/>
      <c r="B142" s="765"/>
      <c r="C142" s="765"/>
      <c r="D142" s="1184">
        <f>'9. Lot Choice'!D23</f>
        <v>0</v>
      </c>
      <c r="E142" s="835" t="s">
        <v>173</v>
      </c>
      <c r="F142" s="835"/>
      <c r="G142" s="843"/>
    </row>
    <row r="143" spans="1:7" x14ac:dyDescent="0.2">
      <c r="A143" s="799"/>
      <c r="B143" s="765"/>
      <c r="C143" s="765"/>
      <c r="D143" s="1184">
        <f>'9. Lot Choice'!D24</f>
        <v>0</v>
      </c>
      <c r="E143" s="835" t="s">
        <v>174</v>
      </c>
      <c r="F143" s="835"/>
      <c r="G143" s="843"/>
    </row>
    <row r="144" spans="1:7" x14ac:dyDescent="0.2">
      <c r="A144" s="799"/>
      <c r="B144" s="765"/>
      <c r="C144" s="765"/>
      <c r="D144" s="1184">
        <f>'9. Lot Choice'!D25</f>
        <v>0</v>
      </c>
      <c r="E144" s="835" t="s">
        <v>175</v>
      </c>
      <c r="F144" s="835"/>
      <c r="G144" s="843"/>
    </row>
    <row r="145" spans="1:7" x14ac:dyDescent="0.2">
      <c r="A145" s="799"/>
      <c r="B145" s="765"/>
      <c r="C145" s="765"/>
      <c r="D145" s="1184">
        <f>'9. Lot Choice'!D31</f>
        <v>0</v>
      </c>
      <c r="E145" s="835" t="s">
        <v>176</v>
      </c>
      <c r="F145" s="835"/>
      <c r="G145" s="843"/>
    </row>
    <row r="146" spans="1:7" x14ac:dyDescent="0.2">
      <c r="A146" s="799"/>
      <c r="B146" s="765"/>
      <c r="C146" s="765"/>
      <c r="D146" s="1184">
        <f>'9. Lot Choice'!D32</f>
        <v>0</v>
      </c>
      <c r="E146" s="835" t="s">
        <v>177</v>
      </c>
      <c r="F146" s="835"/>
      <c r="G146" s="843"/>
    </row>
    <row r="147" spans="1:7" s="784" customFormat="1" x14ac:dyDescent="0.2">
      <c r="A147" s="799"/>
      <c r="B147" s="765"/>
      <c r="C147" s="765"/>
      <c r="D147" s="1184">
        <f>'9. Lot Choice'!D33</f>
        <v>0</v>
      </c>
      <c r="E147" s="835" t="str">
        <f>'9. Lot Choice'!E33</f>
        <v>School</v>
      </c>
      <c r="F147" s="835"/>
      <c r="G147" s="843"/>
    </row>
    <row r="148" spans="1:7" x14ac:dyDescent="0.2">
      <c r="A148" s="799"/>
      <c r="B148" s="765"/>
      <c r="C148" s="765"/>
      <c r="D148" s="1184">
        <f>'9. Lot Choice'!D34</f>
        <v>0</v>
      </c>
      <c r="E148" s="835" t="str">
        <f>'9. Lot Choice'!E34</f>
        <v>Senior Care Facility</v>
      </c>
      <c r="F148" s="835"/>
      <c r="G148" s="843"/>
    </row>
    <row r="149" spans="1:7" s="784" customFormat="1" x14ac:dyDescent="0.2">
      <c r="A149" s="799"/>
      <c r="B149" s="765"/>
      <c r="C149" s="765"/>
      <c r="D149" s="1184">
        <f>'9. Lot Choice'!D35</f>
        <v>0</v>
      </c>
      <c r="E149" s="835" t="str">
        <f>'9. Lot Choice'!E35</f>
        <v>Supermarket</v>
      </c>
      <c r="F149" s="835"/>
      <c r="G149" s="843"/>
    </row>
    <row r="150" spans="1:7" x14ac:dyDescent="0.2">
      <c r="A150" s="799"/>
      <c r="B150" s="765"/>
      <c r="C150" s="765"/>
      <c r="D150" s="1184">
        <f>'9. Lot Choice'!D36</f>
        <v>0</v>
      </c>
      <c r="E150" s="835" t="str">
        <f>'9. Lot Choice'!E36</f>
        <v>Theater</v>
      </c>
      <c r="F150" s="835"/>
      <c r="G150" s="843"/>
    </row>
    <row r="151" spans="1:7" x14ac:dyDescent="0.2">
      <c r="A151" s="799"/>
      <c r="B151" s="765"/>
      <c r="C151" s="765"/>
      <c r="D151" s="1184">
        <f>'9. Lot Choice'!D37</f>
        <v>0</v>
      </c>
      <c r="E151" s="835" t="str">
        <f>'9. Lot Choice'!E37</f>
        <v>Other Neighborhood-serving retail</v>
      </c>
      <c r="F151" s="835"/>
      <c r="G151" s="843"/>
    </row>
    <row r="152" spans="1:7" x14ac:dyDescent="0.2">
      <c r="A152" s="799"/>
      <c r="B152" s="765"/>
      <c r="C152" s="765"/>
      <c r="D152" s="1184">
        <f>'9. Lot Choice'!D38</f>
        <v>0</v>
      </c>
      <c r="E152" s="835" t="str">
        <f>'9. Lot Choice'!E38</f>
        <v>Other office building or major employment center</v>
      </c>
      <c r="F152" s="835"/>
      <c r="G152" s="843"/>
    </row>
    <row r="153" spans="1:7" x14ac:dyDescent="0.2">
      <c r="A153" s="1024" t="s">
        <v>1015</v>
      </c>
      <c r="B153" s="1184">
        <f>'9. Lot Choice'!B39</f>
        <v>0</v>
      </c>
      <c r="C153" s="804">
        <f>'9. Lot Choice'!C39</f>
        <v>2</v>
      </c>
      <c r="D153" s="842" t="str">
        <f>'9. Lot Choice'!D39</f>
        <v xml:space="preserve">Site located in small lot cluster development </v>
      </c>
      <c r="E153" s="842"/>
      <c r="F153" s="842"/>
      <c r="G153" s="843"/>
    </row>
    <row r="154" spans="1:7" x14ac:dyDescent="0.2">
      <c r="A154" s="822" t="s">
        <v>1016</v>
      </c>
      <c r="B154" s="1184">
        <f>'9. Lot Choice'!B40</f>
        <v>0</v>
      </c>
      <c r="C154" s="804">
        <v>2</v>
      </c>
      <c r="D154" s="842" t="str">
        <f>'9. Lot Choice'!D40</f>
        <v>Brownfield site</v>
      </c>
      <c r="E154" s="765"/>
      <c r="F154" s="765"/>
      <c r="G154" s="843"/>
    </row>
    <row r="155" spans="1:7" x14ac:dyDescent="0.2">
      <c r="A155" s="1060"/>
      <c r="B155" s="1061">
        <f>'9. Lot Choice'!B41</f>
        <v>0</v>
      </c>
      <c r="C155" s="1062">
        <v>21</v>
      </c>
      <c r="D155" s="842" t="str">
        <f>'9. Lot Choice'!D41</f>
        <v>Total Possible Points</v>
      </c>
      <c r="E155" s="1073"/>
      <c r="F155" s="1073"/>
      <c r="G155" s="845"/>
    </row>
    <row r="156" spans="1:7" ht="21" customHeight="1" x14ac:dyDescent="0.2">
      <c r="A156" s="799"/>
      <c r="B156" s="765"/>
      <c r="C156" s="765"/>
      <c r="D156" s="765"/>
      <c r="E156" s="765"/>
      <c r="F156" s="765"/>
      <c r="G156" s="845"/>
    </row>
    <row r="157" spans="1:7" ht="19" x14ac:dyDescent="0.25">
      <c r="A157" s="799"/>
      <c r="B157" s="772">
        <f>'9. Lot Choice'!B43</f>
        <v>0</v>
      </c>
      <c r="C157" s="842" t="str">
        <f>'9. Lot Choice'!C43</f>
        <v>Total points for Category 3 ( 0 min / 15 max)</v>
      </c>
      <c r="D157" s="812"/>
      <c r="E157" s="812"/>
      <c r="F157" s="812"/>
      <c r="G157" s="845"/>
    </row>
    <row r="158" spans="1:7" ht="15.75" customHeight="1" thickBot="1" x14ac:dyDescent="0.25">
      <c r="A158" s="1182" t="s">
        <v>161</v>
      </c>
      <c r="B158" s="1183"/>
      <c r="C158" s="1183"/>
      <c r="D158" s="1482">
        <f>'9. Lot Choice'!E45</f>
        <v>0</v>
      </c>
      <c r="E158" s="1482"/>
      <c r="F158" s="1482"/>
      <c r="G158" s="1483"/>
    </row>
    <row r="159" spans="1:7" ht="28.5" customHeight="1" x14ac:dyDescent="0.25">
      <c r="A159" s="780" t="s">
        <v>787</v>
      </c>
      <c r="B159" s="781"/>
      <c r="C159" s="781"/>
      <c r="D159" s="781"/>
      <c r="E159" s="781"/>
      <c r="F159" s="781"/>
      <c r="G159" s="1014" t="str">
        <f>'1. Instructions'!B2</f>
        <v>Version 12 Rev 1.0</v>
      </c>
    </row>
    <row r="160" spans="1:7" ht="16" x14ac:dyDescent="0.2">
      <c r="A160" s="794" t="s">
        <v>222</v>
      </c>
      <c r="B160" s="1178"/>
      <c r="C160" s="1178"/>
      <c r="D160" s="1178"/>
      <c r="E160" s="1178"/>
      <c r="F160" s="1178"/>
      <c r="G160" s="1007" t="str">
        <f>'1. Instructions'!B5</f>
        <v>Revised 4-5-2022</v>
      </c>
    </row>
    <row r="161" spans="1:7" ht="16" x14ac:dyDescent="0.2">
      <c r="A161" s="846" t="s">
        <v>433</v>
      </c>
      <c r="B161" s="1453" t="str">
        <f>'10. Site'!B3</f>
        <v>N/A</v>
      </c>
      <c r="C161" s="1453"/>
      <c r="D161" s="1474" t="s">
        <v>788</v>
      </c>
      <c r="E161" s="1474"/>
      <c r="F161" s="1474"/>
      <c r="G161" s="1475"/>
    </row>
    <row r="162" spans="1:7" ht="16" x14ac:dyDescent="0.2">
      <c r="A162" s="846"/>
      <c r="B162" s="847"/>
      <c r="C162" s="1178"/>
      <c r="D162" s="1474"/>
      <c r="E162" s="1474"/>
      <c r="F162" s="1474"/>
      <c r="G162" s="1475"/>
    </row>
    <row r="163" spans="1:7" ht="16" x14ac:dyDescent="0.2">
      <c r="A163" s="777" t="s">
        <v>185</v>
      </c>
      <c r="B163" s="775"/>
      <c r="C163" s="775"/>
      <c r="D163" s="775"/>
      <c r="E163" s="775"/>
      <c r="F163" s="775"/>
      <c r="G163" s="848"/>
    </row>
    <row r="164" spans="1:7" hidden="1" x14ac:dyDescent="0.2">
      <c r="A164" s="1024" t="s">
        <v>1018</v>
      </c>
      <c r="B164" s="773">
        <f>'10. Site'!B7</f>
        <v>0</v>
      </c>
      <c r="C164" s="802">
        <v>2</v>
      </c>
      <c r="D164" s="849" t="s">
        <v>186</v>
      </c>
      <c r="E164" s="849"/>
      <c r="F164" s="849"/>
      <c r="G164" s="850"/>
    </row>
    <row r="165" spans="1:7" x14ac:dyDescent="0.2">
      <c r="A165" s="822" t="s">
        <v>1019</v>
      </c>
      <c r="B165" s="1184">
        <f>'10. Site'!B8</f>
        <v>0</v>
      </c>
      <c r="C165" s="797" t="s">
        <v>47</v>
      </c>
      <c r="D165" s="765" t="s">
        <v>187</v>
      </c>
      <c r="E165" s="765"/>
      <c r="F165" s="765"/>
      <c r="G165" s="851"/>
    </row>
    <row r="166" spans="1:7" x14ac:dyDescent="0.2">
      <c r="A166" s="799"/>
      <c r="B166" s="765"/>
      <c r="C166" s="765"/>
      <c r="D166" s="1300" t="s">
        <v>215</v>
      </c>
      <c r="E166" s="1300"/>
      <c r="F166" s="1300"/>
      <c r="G166" s="1305"/>
    </row>
    <row r="167" spans="1:7" x14ac:dyDescent="0.2">
      <c r="A167" s="799"/>
      <c r="B167" s="765"/>
      <c r="C167" s="765"/>
      <c r="D167" s="1463" t="str">
        <f>'10. Site'!D10</f>
        <v>?</v>
      </c>
      <c r="E167" s="1463"/>
      <c r="F167" s="760"/>
      <c r="G167" s="845"/>
    </row>
    <row r="168" spans="1:7" hidden="1" x14ac:dyDescent="0.2">
      <c r="A168" s="822" t="s">
        <v>1020</v>
      </c>
      <c r="B168" s="1184">
        <f>'10. Site'!B11</f>
        <v>0</v>
      </c>
      <c r="C168" s="804">
        <v>2</v>
      </c>
      <c r="D168" s="765" t="s">
        <v>188</v>
      </c>
      <c r="E168" s="765"/>
      <c r="F168" s="765"/>
      <c r="G168" s="851"/>
    </row>
    <row r="169" spans="1:7" hidden="1" x14ac:dyDescent="0.2">
      <c r="A169" s="822" t="s">
        <v>655</v>
      </c>
      <c r="B169" s="1184">
        <f>'10. Site'!B12</f>
        <v>0</v>
      </c>
      <c r="C169" s="797" t="s">
        <v>189</v>
      </c>
      <c r="D169" s="765" t="s">
        <v>190</v>
      </c>
      <c r="E169" s="765"/>
      <c r="F169" s="765"/>
      <c r="G169" s="851"/>
    </row>
    <row r="170" spans="1:7" hidden="1" x14ac:dyDescent="0.2">
      <c r="A170" s="799"/>
      <c r="B170" s="765"/>
      <c r="C170" s="765"/>
      <c r="D170" s="1184">
        <f>'10. Site'!D13</f>
        <v>0</v>
      </c>
      <c r="E170" s="765" t="s">
        <v>191</v>
      </c>
      <c r="F170" s="765"/>
      <c r="G170" s="851"/>
    </row>
    <row r="171" spans="1:7" ht="16" hidden="1" x14ac:dyDescent="0.2">
      <c r="A171" s="777" t="s">
        <v>469</v>
      </c>
      <c r="B171" s="775"/>
      <c r="C171" s="775"/>
      <c r="D171" s="775"/>
      <c r="E171" s="775"/>
      <c r="F171" s="775"/>
      <c r="G171" s="848"/>
    </row>
    <row r="172" spans="1:7" hidden="1" x14ac:dyDescent="0.2">
      <c r="A172" s="822" t="s">
        <v>656</v>
      </c>
      <c r="B172" s="1184">
        <f>'10. Site'!B16</f>
        <v>0</v>
      </c>
      <c r="C172" s="804">
        <v>2</v>
      </c>
      <c r="D172" s="765" t="s">
        <v>194</v>
      </c>
      <c r="E172" s="765"/>
      <c r="F172" s="765"/>
      <c r="G172" s="851"/>
    </row>
    <row r="173" spans="1:7" hidden="1" x14ac:dyDescent="0.2">
      <c r="A173" s="822" t="s">
        <v>657</v>
      </c>
      <c r="B173" s="1184">
        <f>'10. Site'!B17</f>
        <v>0</v>
      </c>
      <c r="C173" s="797" t="s">
        <v>47</v>
      </c>
      <c r="D173" s="765" t="s">
        <v>193</v>
      </c>
      <c r="E173" s="765"/>
      <c r="F173" s="765"/>
      <c r="G173" s="851"/>
    </row>
    <row r="174" spans="1:7" hidden="1" x14ac:dyDescent="0.2">
      <c r="A174" s="799"/>
      <c r="B174" s="765"/>
      <c r="C174" s="765"/>
      <c r="D174" s="800" t="s">
        <v>218</v>
      </c>
      <c r="E174" s="800"/>
      <c r="F174" s="841">
        <f>'10. Site'!F18</f>
        <v>0</v>
      </c>
      <c r="G174" s="851"/>
    </row>
    <row r="175" spans="1:7" ht="16" x14ac:dyDescent="0.2">
      <c r="A175" s="777" t="s">
        <v>195</v>
      </c>
      <c r="B175" s="775"/>
      <c r="C175" s="804"/>
      <c r="D175" s="765"/>
      <c r="E175" s="765"/>
      <c r="F175" s="765"/>
      <c r="G175" s="851"/>
    </row>
    <row r="176" spans="1:7" x14ac:dyDescent="0.2">
      <c r="A176" s="822" t="s">
        <v>658</v>
      </c>
      <c r="B176" s="1184">
        <f>'10. Site'!B21</f>
        <v>2</v>
      </c>
      <c r="C176" s="804">
        <v>2</v>
      </c>
      <c r="D176" s="1294" t="str">
        <f>'10. Site'!D21:G21</f>
        <v>Develop and Implement an Erosion Control Site Plan</v>
      </c>
      <c r="E176" s="1294"/>
      <c r="F176" s="1294"/>
      <c r="G176" s="1306"/>
    </row>
    <row r="177" spans="1:7" x14ac:dyDescent="0.2">
      <c r="A177" s="822" t="s">
        <v>659</v>
      </c>
      <c r="B177" s="1184">
        <f>'10. Site'!B22</f>
        <v>0</v>
      </c>
      <c r="C177" s="804">
        <v>1</v>
      </c>
      <c r="D177" s="1294" t="s">
        <v>197</v>
      </c>
      <c r="E177" s="1294"/>
      <c r="F177" s="1294"/>
      <c r="G177" s="1306"/>
    </row>
    <row r="178" spans="1:7" hidden="1" x14ac:dyDescent="0.2">
      <c r="A178" s="822" t="s">
        <v>660</v>
      </c>
      <c r="B178" s="1184">
        <f>'10. Site'!B23</f>
        <v>0</v>
      </c>
      <c r="C178" s="804">
        <v>2</v>
      </c>
      <c r="D178" s="765" t="s">
        <v>198</v>
      </c>
      <c r="E178" s="765"/>
      <c r="F178" s="765"/>
      <c r="G178" s="851"/>
    </row>
    <row r="179" spans="1:7" hidden="1" x14ac:dyDescent="0.2">
      <c r="A179" s="822" t="s">
        <v>661</v>
      </c>
      <c r="B179" s="1184">
        <f>'10. Site'!B24</f>
        <v>1</v>
      </c>
      <c r="C179" s="804">
        <v>1</v>
      </c>
      <c r="D179" s="765" t="s">
        <v>199</v>
      </c>
      <c r="E179" s="765"/>
      <c r="F179" s="765"/>
      <c r="G179" s="851"/>
    </row>
    <row r="180" spans="1:7" x14ac:dyDescent="0.2">
      <c r="A180" s="822" t="s">
        <v>662</v>
      </c>
      <c r="B180" s="1184">
        <f>'10. Site'!B25</f>
        <v>0</v>
      </c>
      <c r="C180" s="804">
        <v>1</v>
      </c>
      <c r="D180" s="1299" t="s">
        <v>200</v>
      </c>
      <c r="E180" s="1299"/>
      <c r="F180" s="1299"/>
      <c r="G180" s="1307"/>
    </row>
    <row r="181" spans="1:7" ht="16" x14ac:dyDescent="0.2">
      <c r="A181" s="777" t="s">
        <v>201</v>
      </c>
      <c r="B181" s="775"/>
      <c r="C181" s="804"/>
      <c r="D181" s="765"/>
      <c r="E181" s="765"/>
      <c r="F181" s="765"/>
      <c r="G181" s="851"/>
    </row>
    <row r="182" spans="1:7" hidden="1" x14ac:dyDescent="0.2">
      <c r="A182" s="796" t="s">
        <v>663</v>
      </c>
      <c r="B182" s="1184">
        <f>'10. Site'!B28</f>
        <v>0</v>
      </c>
      <c r="C182" s="804">
        <v>2</v>
      </c>
      <c r="D182" s="765" t="s">
        <v>202</v>
      </c>
      <c r="E182" s="765"/>
      <c r="F182" s="765"/>
      <c r="G182" s="851"/>
    </row>
    <row r="183" spans="1:7" x14ac:dyDescent="0.2">
      <c r="A183" s="796" t="s">
        <v>664</v>
      </c>
      <c r="B183" s="1184">
        <f>'10. Site'!B29</f>
        <v>0</v>
      </c>
      <c r="C183" s="804">
        <v>2</v>
      </c>
      <c r="D183" s="1299" t="s">
        <v>203</v>
      </c>
      <c r="E183" s="1299"/>
      <c r="F183" s="1299"/>
      <c r="G183" s="1307"/>
    </row>
    <row r="184" spans="1:7" x14ac:dyDescent="0.2">
      <c r="A184" s="796" t="s">
        <v>665</v>
      </c>
      <c r="B184" s="774">
        <f>'10. Site'!B30</f>
        <v>1</v>
      </c>
      <c r="C184" s="797" t="s">
        <v>41</v>
      </c>
      <c r="D184" s="1294" t="s">
        <v>204</v>
      </c>
      <c r="E184" s="1294"/>
      <c r="F184" s="1294"/>
      <c r="G184" s="1306"/>
    </row>
    <row r="185" spans="1:7" x14ac:dyDescent="0.2">
      <c r="A185" s="799"/>
      <c r="B185" s="765"/>
      <c r="C185" s="765"/>
      <c r="D185" s="1294" t="s">
        <v>205</v>
      </c>
      <c r="E185" s="1294"/>
      <c r="F185" s="1294"/>
      <c r="G185" s="1306"/>
    </row>
    <row r="186" spans="1:7" x14ac:dyDescent="0.2">
      <c r="A186" s="799"/>
      <c r="B186" s="765"/>
      <c r="C186" s="765"/>
      <c r="D186" s="1184">
        <f>'10. Site'!D32</f>
        <v>0</v>
      </c>
      <c r="E186" s="1294" t="s">
        <v>206</v>
      </c>
      <c r="F186" s="1184">
        <f>'10. Site'!F32</f>
        <v>100</v>
      </c>
      <c r="G186" s="1306" t="s">
        <v>207</v>
      </c>
    </row>
    <row r="187" spans="1:7" x14ac:dyDescent="0.2">
      <c r="A187" s="799"/>
      <c r="B187" s="765"/>
      <c r="C187" s="765"/>
      <c r="D187" s="1184">
        <f>'10. Site'!D33</f>
        <v>0</v>
      </c>
      <c r="E187" s="1294" t="s">
        <v>208</v>
      </c>
      <c r="F187" s="1184">
        <f>'10. Site'!F33</f>
        <v>30</v>
      </c>
      <c r="G187" s="1306" t="s">
        <v>209</v>
      </c>
    </row>
    <row r="188" spans="1:7" x14ac:dyDescent="0.2">
      <c r="A188" s="799"/>
      <c r="B188" s="765"/>
      <c r="C188" s="765"/>
      <c r="D188" s="1184">
        <f>'10. Site'!D34</f>
        <v>0</v>
      </c>
      <c r="E188" s="1294" t="s">
        <v>210</v>
      </c>
      <c r="F188" s="1184">
        <f>'10. Site'!F34</f>
        <v>30</v>
      </c>
      <c r="G188" s="1306" t="s">
        <v>211</v>
      </c>
    </row>
    <row r="189" spans="1:7" x14ac:dyDescent="0.2">
      <c r="A189" s="799"/>
      <c r="B189" s="765"/>
      <c r="C189" s="765"/>
      <c r="D189" s="774">
        <f>'10. Site'!D35</f>
        <v>1</v>
      </c>
      <c r="E189" s="1294" t="s">
        <v>212</v>
      </c>
      <c r="F189" s="765"/>
      <c r="G189" s="851"/>
    </row>
    <row r="190" spans="1:7" x14ac:dyDescent="0.2">
      <c r="A190" s="1060"/>
      <c r="B190" s="1061">
        <f>'10. Site'!B36</f>
        <v>4</v>
      </c>
      <c r="C190" s="1062">
        <v>34</v>
      </c>
      <c r="D190" s="1065" t="s">
        <v>111</v>
      </c>
      <c r="E190" s="1065"/>
      <c r="F190" s="1065"/>
      <c r="G190" s="845"/>
    </row>
    <row r="191" spans="1:7" ht="21" customHeight="1" x14ac:dyDescent="0.2">
      <c r="A191" s="799"/>
      <c r="B191" s="765"/>
      <c r="C191" s="765"/>
      <c r="D191" s="765"/>
      <c r="E191" s="765"/>
      <c r="F191" s="765"/>
      <c r="G191" s="851"/>
    </row>
    <row r="192" spans="1:7" ht="19" x14ac:dyDescent="0.25">
      <c r="A192" s="799"/>
      <c r="B192" s="772">
        <f>'10. Site'!B38</f>
        <v>4</v>
      </c>
      <c r="C192" s="812" t="s">
        <v>213</v>
      </c>
      <c r="D192" s="812"/>
      <c r="E192" s="812"/>
      <c r="F192" s="812"/>
      <c r="G192" s="854"/>
    </row>
    <row r="193" spans="1:7" ht="16" thickBot="1" x14ac:dyDescent="0.25">
      <c r="A193" s="1182" t="s">
        <v>214</v>
      </c>
      <c r="B193" s="789"/>
      <c r="C193" s="789"/>
      <c r="D193" s="1458">
        <f>'10. Site'!E40</f>
        <v>0</v>
      </c>
      <c r="E193" s="1458"/>
      <c r="F193" s="1458"/>
      <c r="G193" s="1459"/>
    </row>
    <row r="194" spans="1:7" ht="19" x14ac:dyDescent="0.25">
      <c r="A194" s="780" t="s">
        <v>790</v>
      </c>
      <c r="B194" s="781"/>
      <c r="C194" s="781"/>
      <c r="D194" s="781"/>
      <c r="E194" s="781"/>
      <c r="F194" s="781"/>
      <c r="G194" s="1014" t="str">
        <f>'1. Instructions'!B2</f>
        <v>Version 12 Rev 1.0</v>
      </c>
    </row>
    <row r="195" spans="1:7" ht="16" x14ac:dyDescent="0.2">
      <c r="A195" s="794" t="s">
        <v>338</v>
      </c>
      <c r="B195" s="1178"/>
      <c r="C195" s="1178"/>
      <c r="D195" s="1178"/>
      <c r="E195" s="1178"/>
      <c r="F195" s="1178"/>
      <c r="G195" s="1007" t="str">
        <f>'1. Instructions'!B5</f>
        <v>Revised 4-5-2022</v>
      </c>
    </row>
    <row r="196" spans="1:7" ht="16" x14ac:dyDescent="0.2">
      <c r="A196" s="777" t="s">
        <v>240</v>
      </c>
      <c r="B196" s="775"/>
      <c r="C196" s="775"/>
      <c r="D196" s="775"/>
      <c r="E196" s="775"/>
      <c r="F196" s="775"/>
      <c r="G196" s="848"/>
    </row>
    <row r="197" spans="1:7" x14ac:dyDescent="0.2">
      <c r="A197" s="822" t="s">
        <v>1121</v>
      </c>
      <c r="B197" s="1184">
        <f>'11. Health'!B5</f>
        <v>3</v>
      </c>
      <c r="C197" s="844">
        <v>3</v>
      </c>
      <c r="D197" s="1286" t="s">
        <v>1199</v>
      </c>
      <c r="E197" s="1286"/>
      <c r="F197" s="1286"/>
      <c r="G197" s="1308"/>
    </row>
    <row r="198" spans="1:7" x14ac:dyDescent="0.2">
      <c r="A198" s="822" t="s">
        <v>1122</v>
      </c>
      <c r="B198" s="1184">
        <f>'11. Health'!B6</f>
        <v>0</v>
      </c>
      <c r="C198" s="804">
        <v>1</v>
      </c>
      <c r="D198" s="1298" t="s">
        <v>578</v>
      </c>
      <c r="E198" s="1298"/>
      <c r="F198" s="1298"/>
      <c r="G198" s="1309"/>
    </row>
    <row r="199" spans="1:7" x14ac:dyDescent="0.2">
      <c r="A199" s="822" t="s">
        <v>1123</v>
      </c>
      <c r="B199" s="1184">
        <f>'11. Health'!B7</f>
        <v>1</v>
      </c>
      <c r="C199" s="804">
        <v>1</v>
      </c>
      <c r="D199" s="1286" t="s">
        <v>895</v>
      </c>
      <c r="E199" s="1286"/>
      <c r="F199" s="1286"/>
      <c r="G199" s="1308"/>
    </row>
    <row r="200" spans="1:7" x14ac:dyDescent="0.2">
      <c r="A200" s="822" t="s">
        <v>1124</v>
      </c>
      <c r="B200" s="1184">
        <f>'11. Health'!B8</f>
        <v>2</v>
      </c>
      <c r="C200" s="1044" t="s">
        <v>47</v>
      </c>
      <c r="D200" s="1294" t="s">
        <v>244</v>
      </c>
      <c r="E200" s="1294"/>
      <c r="F200" s="1294"/>
      <c r="G200" s="1306"/>
    </row>
    <row r="201" spans="1:7" x14ac:dyDescent="0.2">
      <c r="A201" s="799"/>
      <c r="B201" s="765"/>
      <c r="C201" s="1037"/>
      <c r="D201" s="1294" t="s">
        <v>245</v>
      </c>
      <c r="E201" s="1294"/>
      <c r="F201" s="1294" t="s">
        <v>246</v>
      </c>
      <c r="G201" s="1306"/>
    </row>
    <row r="202" spans="1:7" x14ac:dyDescent="0.2">
      <c r="A202" s="799"/>
      <c r="B202" s="765"/>
      <c r="C202" s="765"/>
      <c r="D202" s="1184" t="str">
        <f>'11. Health'!D10</f>
        <v>Yes</v>
      </c>
      <c r="E202" s="1294" t="s">
        <v>247</v>
      </c>
      <c r="F202" s="1184" t="str">
        <f>'11. Health'!F10</f>
        <v>Yes</v>
      </c>
      <c r="G202" s="1306" t="s">
        <v>247</v>
      </c>
    </row>
    <row r="203" spans="1:7" hidden="1" x14ac:dyDescent="0.2">
      <c r="A203" s="799"/>
      <c r="B203" s="765"/>
      <c r="C203" s="765"/>
      <c r="D203" s="1184">
        <f>'11. Health'!D11</f>
        <v>0</v>
      </c>
      <c r="E203" s="765" t="s">
        <v>248</v>
      </c>
      <c r="F203" s="1184">
        <f>'11. Health'!F11</f>
        <v>0</v>
      </c>
      <c r="G203" s="1046" t="s">
        <v>248</v>
      </c>
    </row>
    <row r="204" spans="1:7" hidden="1" x14ac:dyDescent="0.2">
      <c r="A204" s="799"/>
      <c r="B204" s="765"/>
      <c r="C204" s="765"/>
      <c r="D204" s="1184">
        <f>'11. Health'!D12</f>
        <v>0</v>
      </c>
      <c r="E204" s="765" t="s">
        <v>249</v>
      </c>
      <c r="F204" s="1184">
        <f>'11. Health'!F12</f>
        <v>0</v>
      </c>
      <c r="G204" s="1046" t="s">
        <v>249</v>
      </c>
    </row>
    <row r="205" spans="1:7" hidden="1" x14ac:dyDescent="0.2">
      <c r="A205" s="799"/>
      <c r="B205" s="765"/>
      <c r="C205" s="765"/>
      <c r="D205" s="765"/>
      <c r="E205" s="765"/>
      <c r="F205" s="1184">
        <f>'11. Health'!F13</f>
        <v>0</v>
      </c>
      <c r="G205" s="1046" t="s">
        <v>250</v>
      </c>
    </row>
    <row r="206" spans="1:7" ht="16" x14ac:dyDescent="0.2">
      <c r="A206" s="777" t="s">
        <v>252</v>
      </c>
      <c r="B206" s="775"/>
      <c r="C206" s="775"/>
      <c r="D206" s="775"/>
      <c r="E206" s="775"/>
      <c r="F206" s="775"/>
      <c r="G206" s="848"/>
    </row>
    <row r="207" spans="1:7" hidden="1" x14ac:dyDescent="0.2">
      <c r="A207" s="822" t="s">
        <v>1105</v>
      </c>
      <c r="B207" s="1184">
        <f>'11. Health'!B16</f>
        <v>0</v>
      </c>
      <c r="C207" s="804">
        <v>1</v>
      </c>
      <c r="D207" s="765" t="s">
        <v>253</v>
      </c>
      <c r="E207" s="765"/>
      <c r="F207" s="765"/>
      <c r="G207" s="851"/>
    </row>
    <row r="208" spans="1:7" hidden="1" x14ac:dyDescent="0.2">
      <c r="A208" s="822" t="s">
        <v>1106</v>
      </c>
      <c r="B208" s="1184">
        <f>'11. Health'!B17</f>
        <v>0</v>
      </c>
      <c r="C208" s="804">
        <v>1</v>
      </c>
      <c r="D208" s="765" t="s">
        <v>254</v>
      </c>
      <c r="E208" s="765"/>
      <c r="F208" s="765"/>
      <c r="G208" s="851"/>
    </row>
    <row r="209" spans="1:7" hidden="1" x14ac:dyDescent="0.2">
      <c r="A209" s="822" t="s">
        <v>1107</v>
      </c>
      <c r="B209" s="1184">
        <f>'11. Health'!B18</f>
        <v>0</v>
      </c>
      <c r="C209" s="804">
        <v>1</v>
      </c>
      <c r="D209" s="765" t="s">
        <v>255</v>
      </c>
      <c r="E209" s="765"/>
      <c r="F209" s="765"/>
      <c r="G209" s="851"/>
    </row>
    <row r="210" spans="1:7" x14ac:dyDescent="0.2">
      <c r="A210" s="822" t="s">
        <v>1108</v>
      </c>
      <c r="B210" s="1184">
        <f>'11. Health'!B19</f>
        <v>1</v>
      </c>
      <c r="C210" s="1045">
        <v>1</v>
      </c>
      <c r="D210" s="1294" t="s">
        <v>256</v>
      </c>
      <c r="E210" s="1294"/>
      <c r="F210" s="1294"/>
      <c r="G210" s="1306"/>
    </row>
    <row r="211" spans="1:7" s="784" customFormat="1" hidden="1" x14ac:dyDescent="0.2">
      <c r="A211" s="822" t="s">
        <v>1109</v>
      </c>
      <c r="B211" s="1184">
        <f>'11. Health'!B20</f>
        <v>0</v>
      </c>
      <c r="C211" s="1045">
        <v>1</v>
      </c>
      <c r="D211" s="765" t="s">
        <v>257</v>
      </c>
      <c r="E211" s="1037"/>
      <c r="F211" s="1037"/>
      <c r="G211" s="1046"/>
    </row>
    <row r="212" spans="1:7" hidden="1" x14ac:dyDescent="0.2">
      <c r="A212" s="822" t="s">
        <v>1110</v>
      </c>
      <c r="B212" s="1184">
        <f>'11. Health'!B21</f>
        <v>0</v>
      </c>
      <c r="C212" s="804">
        <v>3</v>
      </c>
      <c r="D212" s="765" t="s">
        <v>258</v>
      </c>
      <c r="E212" s="765"/>
      <c r="F212" s="765"/>
      <c r="G212" s="851"/>
    </row>
    <row r="213" spans="1:7" x14ac:dyDescent="0.2">
      <c r="A213" s="822" t="s">
        <v>1111</v>
      </c>
      <c r="B213" s="1184">
        <f>'11. Health'!B22</f>
        <v>1</v>
      </c>
      <c r="C213" s="804">
        <v>1</v>
      </c>
      <c r="D213" s="1294" t="s">
        <v>259</v>
      </c>
      <c r="E213" s="1294"/>
      <c r="F213" s="1294"/>
      <c r="G213" s="1306"/>
    </row>
    <row r="214" spans="1:7" x14ac:dyDescent="0.2">
      <c r="A214" s="822" t="s">
        <v>1112</v>
      </c>
      <c r="B214" s="1184">
        <f>'11. Health'!B23</f>
        <v>1</v>
      </c>
      <c r="C214" s="804">
        <v>1</v>
      </c>
      <c r="D214" s="1471" t="s">
        <v>971</v>
      </c>
      <c r="E214" s="1471"/>
      <c r="F214" s="1471"/>
      <c r="G214" s="1472"/>
    </row>
    <row r="215" spans="1:7" hidden="1" x14ac:dyDescent="0.2">
      <c r="A215" s="822" t="s">
        <v>1224</v>
      </c>
      <c r="B215" s="1184">
        <f>'11. Health'!B24</f>
        <v>0</v>
      </c>
      <c r="C215" s="804">
        <v>1</v>
      </c>
      <c r="D215" s="765" t="s">
        <v>1222</v>
      </c>
      <c r="E215" s="765"/>
      <c r="F215" s="765"/>
      <c r="G215" s="851"/>
    </row>
    <row r="216" spans="1:7" ht="16" x14ac:dyDescent="0.2">
      <c r="A216" s="777" t="s">
        <v>470</v>
      </c>
      <c r="B216" s="775"/>
      <c r="C216" s="775"/>
      <c r="D216" s="775"/>
      <c r="E216" s="775"/>
      <c r="F216" s="775"/>
      <c r="G216" s="848"/>
    </row>
    <row r="217" spans="1:7" x14ac:dyDescent="0.2">
      <c r="A217" s="822" t="str">
        <f>'11. Health'!A27</f>
        <v>H3.01</v>
      </c>
      <c r="B217" s="1184">
        <f>'11. Health'!B27</f>
        <v>1</v>
      </c>
      <c r="C217" s="1196">
        <f>'11. Health'!C27</f>
        <v>1</v>
      </c>
      <c r="D217" s="1287" t="str">
        <f>'11. Health'!D27</f>
        <v>No exposed urea-formaldehyde wood products</v>
      </c>
      <c r="E217" s="1298"/>
      <c r="F217" s="1298"/>
      <c r="G217" s="1309"/>
    </row>
    <row r="218" spans="1:7" hidden="1" x14ac:dyDescent="0.2">
      <c r="A218" s="822" t="str">
        <f>'11. Health'!A28</f>
        <v>H3.02</v>
      </c>
      <c r="B218" s="1184">
        <f>'11. Health'!B28</f>
        <v>0</v>
      </c>
      <c r="C218" s="1196">
        <f>'11. Health'!C28</f>
        <v>2</v>
      </c>
      <c r="D218" s="784" t="str">
        <f>'11. Health'!D28</f>
        <v xml:space="preserve"> Zero VOC Paints, Stains, and Finishes</v>
      </c>
      <c r="E218" s="765"/>
      <c r="F218" s="765"/>
      <c r="G218" s="851"/>
    </row>
    <row r="219" spans="1:7" x14ac:dyDescent="0.2">
      <c r="A219" s="822" t="str">
        <f>'11. Health'!A29</f>
        <v>H3.03</v>
      </c>
      <c r="B219" s="1184">
        <f>'11. Health'!B29</f>
        <v>1</v>
      </c>
      <c r="C219" s="1196">
        <f>'11. Health'!C29</f>
        <v>1</v>
      </c>
      <c r="D219" s="1287" t="str">
        <f>'11. Health'!D29</f>
        <v>Low VOC Paints, Stains, and Finishes</v>
      </c>
      <c r="E219" s="1294"/>
      <c r="F219" s="1294"/>
      <c r="G219" s="1306"/>
    </row>
    <row r="220" spans="1:7" x14ac:dyDescent="0.2">
      <c r="A220" s="822" t="str">
        <f>'11. Health'!A30</f>
        <v>H3.04</v>
      </c>
      <c r="B220" s="1184">
        <f>'11. Health'!B30</f>
        <v>1</v>
      </c>
      <c r="C220" s="1196">
        <f>'11. Health'!C30</f>
        <v>1</v>
      </c>
      <c r="D220" s="1287" t="str">
        <f>'11. Health'!D30</f>
        <v>Low VOC Sealants and Adhesives</v>
      </c>
      <c r="E220" s="1286"/>
      <c r="F220" s="1286"/>
      <c r="G220" s="1308"/>
    </row>
    <row r="221" spans="1:7" hidden="1" x14ac:dyDescent="0.2">
      <c r="A221" s="822" t="str">
        <f>'11. Health'!A31</f>
        <v>H3.05</v>
      </c>
      <c r="B221" s="1184">
        <f>'11. Health'!B31</f>
        <v>0</v>
      </c>
      <c r="C221" s="1196" t="str">
        <f>'11. Health'!C31</f>
        <v>1 - 2</v>
      </c>
      <c r="D221" s="784" t="str">
        <f>'11. Health'!D31</f>
        <v>Minimize Carpet Use</v>
      </c>
      <c r="E221" s="842"/>
      <c r="F221" s="842"/>
      <c r="G221" s="855"/>
    </row>
    <row r="222" spans="1:7" s="784" customFormat="1" x14ac:dyDescent="0.2">
      <c r="A222" s="822" t="str">
        <f>'11. Health'!A32</f>
        <v>H3.06</v>
      </c>
      <c r="B222" s="1184">
        <f>'11. Health'!B32</f>
        <v>1</v>
      </c>
      <c r="C222" s="1196">
        <f>'11. Health'!C32</f>
        <v>1</v>
      </c>
      <c r="D222" s="1287" t="str">
        <f>'11. Health'!D32</f>
        <v>Healthy  Flooring</v>
      </c>
      <c r="E222" s="1294"/>
      <c r="F222" s="1294"/>
      <c r="G222" s="1306"/>
    </row>
    <row r="223" spans="1:7" x14ac:dyDescent="0.2">
      <c r="A223" s="822" t="str">
        <f>'11. Health'!A33</f>
        <v>H3.07</v>
      </c>
      <c r="B223" s="1184">
        <f>'11. Health'!B33</f>
        <v>1</v>
      </c>
      <c r="C223" s="1196">
        <f>'11. Health'!C33</f>
        <v>1</v>
      </c>
      <c r="D223" s="1287" t="str">
        <f>'11. Health'!D33</f>
        <v>Healthy Insulation</v>
      </c>
      <c r="E223" s="1286"/>
      <c r="F223" s="1286"/>
      <c r="G223" s="1308"/>
    </row>
    <row r="224" spans="1:7" x14ac:dyDescent="0.2">
      <c r="A224" s="822" t="str">
        <f>'11. Health'!A34</f>
        <v>H3.08</v>
      </c>
      <c r="B224" s="1184">
        <f>'11. Health'!B34</f>
        <v>1</v>
      </c>
      <c r="C224" s="1196">
        <f>'11. Health'!C34</f>
        <v>1</v>
      </c>
      <c r="D224" s="1287" t="str">
        <f>'11. Health'!D34</f>
        <v xml:space="preserve">Protect ducts, range hood, and bath exhaust fans during construction </v>
      </c>
      <c r="E224" s="1296"/>
      <c r="F224" s="1296"/>
      <c r="G224" s="1310"/>
    </row>
    <row r="225" spans="1:7" hidden="1" x14ac:dyDescent="0.2">
      <c r="A225" s="822" t="str">
        <f>'11. Health'!A35</f>
        <v>H3.09</v>
      </c>
      <c r="B225" s="1184">
        <f>'11. Health'!B35</f>
        <v>0</v>
      </c>
      <c r="C225" s="1196">
        <f>'11. Health'!C35</f>
        <v>3</v>
      </c>
      <c r="D225" s="784" t="str">
        <f>'11. Health'!D35</f>
        <v>Integrated Pest Management</v>
      </c>
      <c r="E225" s="798"/>
      <c r="F225" s="798"/>
      <c r="G225" s="853"/>
    </row>
    <row r="226" spans="1:7" ht="16" hidden="1" x14ac:dyDescent="0.2">
      <c r="A226" s="777" t="s">
        <v>269</v>
      </c>
      <c r="B226" s="775"/>
      <c r="C226" s="775"/>
      <c r="D226" s="775"/>
      <c r="E226" s="775"/>
      <c r="F226" s="775"/>
      <c r="G226" s="848"/>
    </row>
    <row r="227" spans="1:7" hidden="1" x14ac:dyDescent="0.2">
      <c r="A227" s="796" t="s">
        <v>1125</v>
      </c>
      <c r="B227" s="1184">
        <f>'11. Health'!B38</f>
        <v>0</v>
      </c>
      <c r="C227" s="797" t="s">
        <v>270</v>
      </c>
      <c r="D227" s="765" t="s">
        <v>271</v>
      </c>
      <c r="E227" s="765"/>
      <c r="F227" s="765"/>
      <c r="G227" s="851"/>
    </row>
    <row r="228" spans="1:7" hidden="1" x14ac:dyDescent="0.2">
      <c r="A228" s="799"/>
      <c r="B228" s="765"/>
      <c r="C228" s="765"/>
      <c r="D228" s="1184">
        <f>'11. Health'!D39</f>
        <v>0</v>
      </c>
      <c r="E228" s="765" t="s">
        <v>272</v>
      </c>
      <c r="F228" s="1184">
        <f>'11. Health'!F39</f>
        <v>0</v>
      </c>
      <c r="G228" s="857" t="s">
        <v>273</v>
      </c>
    </row>
    <row r="229" spans="1:7" hidden="1" x14ac:dyDescent="0.2">
      <c r="A229" s="799"/>
      <c r="B229" s="765"/>
      <c r="C229" s="765"/>
      <c r="D229" s="768"/>
      <c r="E229" s="768"/>
      <c r="F229" s="1184">
        <f>'11. Health'!F40</f>
        <v>0</v>
      </c>
      <c r="G229" s="858" t="s">
        <v>274</v>
      </c>
    </row>
    <row r="230" spans="1:7" hidden="1" x14ac:dyDescent="0.2">
      <c r="A230" s="822" t="s">
        <v>1126</v>
      </c>
      <c r="B230" s="1184">
        <f>'11. Health'!B41</f>
        <v>0</v>
      </c>
      <c r="C230" s="804">
        <v>1</v>
      </c>
      <c r="D230" s="765" t="s">
        <v>276</v>
      </c>
      <c r="E230" s="765"/>
      <c r="F230" s="765"/>
      <c r="G230" s="851"/>
    </row>
    <row r="231" spans="1:7" ht="16" x14ac:dyDescent="0.2">
      <c r="A231" s="777" t="s">
        <v>471</v>
      </c>
      <c r="B231" s="775"/>
      <c r="C231" s="775"/>
      <c r="D231" s="775"/>
      <c r="E231" s="775"/>
      <c r="F231" s="775"/>
      <c r="G231" s="848"/>
    </row>
    <row r="232" spans="1:7" x14ac:dyDescent="0.2">
      <c r="A232" s="822" t="s">
        <v>1104</v>
      </c>
      <c r="B232" s="1184">
        <f>'11. Health'!B44</f>
        <v>0</v>
      </c>
      <c r="C232" s="797" t="s">
        <v>280</v>
      </c>
      <c r="D232" s="1299" t="s">
        <v>281</v>
      </c>
      <c r="E232" s="1299"/>
      <c r="F232" s="1299"/>
      <c r="G232" s="1307"/>
    </row>
    <row r="233" spans="1:7" ht="16" x14ac:dyDescent="0.2">
      <c r="A233" s="777" t="s">
        <v>282</v>
      </c>
      <c r="B233" s="775"/>
      <c r="C233" s="775"/>
      <c r="D233" s="775"/>
      <c r="E233" s="775"/>
      <c r="F233" s="775"/>
      <c r="G233" s="848"/>
    </row>
    <row r="234" spans="1:7" x14ac:dyDescent="0.2">
      <c r="A234" s="822" t="s">
        <v>1096</v>
      </c>
      <c r="B234" s="1184">
        <f>'11. Health'!B47</f>
        <v>2</v>
      </c>
      <c r="C234" s="804" t="s">
        <v>922</v>
      </c>
      <c r="D234" s="1296" t="s">
        <v>283</v>
      </c>
      <c r="E234" s="1296"/>
      <c r="F234" s="1296"/>
      <c r="G234" s="1310"/>
    </row>
    <row r="235" spans="1:7" hidden="1" x14ac:dyDescent="0.2">
      <c r="A235" s="822" t="s">
        <v>1097</v>
      </c>
      <c r="B235" s="1184">
        <f>'11. Health'!B48</f>
        <v>0</v>
      </c>
      <c r="C235" s="804">
        <v>1</v>
      </c>
      <c r="D235" s="765" t="s">
        <v>1386</v>
      </c>
      <c r="E235" s="765"/>
      <c r="F235" s="765"/>
      <c r="G235" s="851"/>
    </row>
    <row r="236" spans="1:7" x14ac:dyDescent="0.2">
      <c r="A236" s="822" t="s">
        <v>1098</v>
      </c>
      <c r="B236" s="1184">
        <f>'11. Health'!B49</f>
        <v>0</v>
      </c>
      <c r="C236" s="804">
        <v>1</v>
      </c>
      <c r="D236" s="1294" t="s">
        <v>285</v>
      </c>
      <c r="E236" s="1294"/>
      <c r="F236" s="1294"/>
      <c r="G236" s="1306"/>
    </row>
    <row r="237" spans="1:7" ht="17" hidden="1" x14ac:dyDescent="0.2">
      <c r="A237" s="822" t="s">
        <v>1099</v>
      </c>
      <c r="B237" s="1184">
        <f>'11. Health'!B50</f>
        <v>0</v>
      </c>
      <c r="C237" s="804">
        <v>1</v>
      </c>
      <c r="D237" s="842" t="s">
        <v>949</v>
      </c>
      <c r="E237" s="842"/>
      <c r="F237" s="842"/>
      <c r="G237" s="855"/>
    </row>
    <row r="238" spans="1:7" x14ac:dyDescent="0.2">
      <c r="A238" s="822" t="s">
        <v>1100</v>
      </c>
      <c r="B238" s="1184">
        <f>'11. Health'!B51</f>
        <v>1</v>
      </c>
      <c r="C238" s="804">
        <v>1</v>
      </c>
      <c r="D238" s="1294" t="s">
        <v>286</v>
      </c>
      <c r="E238" s="1294"/>
      <c r="F238" s="1294"/>
      <c r="G238" s="1306"/>
    </row>
    <row r="239" spans="1:7" x14ac:dyDescent="0.2">
      <c r="A239" s="822" t="s">
        <v>1101</v>
      </c>
      <c r="B239" s="1184">
        <f>'11. Health'!B52</f>
        <v>1</v>
      </c>
      <c r="C239" s="804">
        <v>1</v>
      </c>
      <c r="D239" s="1298" t="s">
        <v>576</v>
      </c>
      <c r="E239" s="1298"/>
      <c r="F239" s="1298"/>
      <c r="G239" s="1309"/>
    </row>
    <row r="240" spans="1:7" hidden="1" x14ac:dyDescent="0.2">
      <c r="A240" s="822" t="s">
        <v>1102</v>
      </c>
      <c r="B240" s="1184">
        <f>'11. Health'!B53</f>
        <v>0</v>
      </c>
      <c r="C240" s="804">
        <v>3</v>
      </c>
      <c r="D240" s="765" t="s">
        <v>288</v>
      </c>
      <c r="E240" s="765"/>
      <c r="F240" s="765"/>
      <c r="G240" s="851"/>
    </row>
    <row r="241" spans="1:7" x14ac:dyDescent="0.2">
      <c r="A241" s="822" t="s">
        <v>1103</v>
      </c>
      <c r="B241" s="1184">
        <f>'11. Health'!B54</f>
        <v>1</v>
      </c>
      <c r="C241" s="797" t="s">
        <v>47</v>
      </c>
      <c r="D241" s="1298" t="s">
        <v>452</v>
      </c>
      <c r="E241" s="1298"/>
      <c r="F241" s="1298"/>
      <c r="G241" s="1309"/>
    </row>
    <row r="242" spans="1:7" x14ac:dyDescent="0.2">
      <c r="A242" s="822" t="s">
        <v>1095</v>
      </c>
      <c r="B242" s="1184">
        <f>'11. Health'!B55</f>
        <v>1</v>
      </c>
      <c r="C242" s="804">
        <v>1</v>
      </c>
      <c r="D242" s="1294" t="s">
        <v>289</v>
      </c>
      <c r="E242" s="1294"/>
      <c r="F242" s="1294"/>
      <c r="G242" s="1306"/>
    </row>
    <row r="243" spans="1:7" x14ac:dyDescent="0.2">
      <c r="A243" s="822" t="s">
        <v>698</v>
      </c>
      <c r="B243" s="1184">
        <f>'11. Health'!B56</f>
        <v>0</v>
      </c>
      <c r="C243" s="804">
        <v>1</v>
      </c>
      <c r="D243" s="1311" t="s">
        <v>453</v>
      </c>
      <c r="E243" s="1311"/>
      <c r="F243" s="1311"/>
      <c r="G243" s="1312"/>
    </row>
    <row r="244" spans="1:7" x14ac:dyDescent="0.2">
      <c r="A244" s="822" t="s">
        <v>699</v>
      </c>
      <c r="B244" s="1184">
        <f>'11. Health'!B57</f>
        <v>1</v>
      </c>
      <c r="C244" s="804">
        <v>1</v>
      </c>
      <c r="D244" s="1296" t="s">
        <v>928</v>
      </c>
      <c r="E244" s="1296"/>
      <c r="F244" s="1296"/>
      <c r="G244" s="1310"/>
    </row>
    <row r="245" spans="1:7" x14ac:dyDescent="0.2">
      <c r="A245" s="1066"/>
      <c r="B245" s="1061">
        <f>'11. Health'!B58</f>
        <v>22</v>
      </c>
      <c r="C245" s="1062">
        <v>53</v>
      </c>
      <c r="D245" s="1065" t="s">
        <v>111</v>
      </c>
      <c r="E245" s="1065"/>
      <c r="F245" s="1065"/>
      <c r="G245" s="845"/>
    </row>
    <row r="246" spans="1:7" ht="21" customHeight="1" x14ac:dyDescent="0.2">
      <c r="A246" s="799"/>
      <c r="B246" s="765"/>
      <c r="C246" s="765"/>
      <c r="D246" s="765"/>
      <c r="E246" s="765"/>
      <c r="F246" s="765"/>
      <c r="G246" s="851"/>
    </row>
    <row r="247" spans="1:7" ht="19" x14ac:dyDescent="0.25">
      <c r="A247" s="799"/>
      <c r="B247" s="772">
        <f>'11. Health'!B60</f>
        <v>22</v>
      </c>
      <c r="C247" s="812" t="s">
        <v>294</v>
      </c>
      <c r="D247" s="812"/>
      <c r="E247" s="812"/>
      <c r="F247" s="812"/>
      <c r="G247" s="854"/>
    </row>
    <row r="248" spans="1:7" ht="16" thickBot="1" x14ac:dyDescent="0.25">
      <c r="A248" s="1182" t="s">
        <v>295</v>
      </c>
      <c r="B248" s="789"/>
      <c r="C248" s="789"/>
      <c r="D248" s="1458">
        <f>'11. Health'!E62</f>
        <v>0</v>
      </c>
      <c r="E248" s="1458"/>
      <c r="F248" s="1458"/>
      <c r="G248" s="1459"/>
    </row>
    <row r="249" spans="1:7" ht="19" x14ac:dyDescent="0.25">
      <c r="A249" s="780" t="s">
        <v>796</v>
      </c>
      <c r="B249" s="781"/>
      <c r="C249" s="781"/>
      <c r="D249" s="781"/>
      <c r="E249" s="781"/>
      <c r="F249" s="781"/>
      <c r="G249" s="1005" t="str">
        <f>'1. Instructions'!B2</f>
        <v>Version 12 Rev 1.0</v>
      </c>
    </row>
    <row r="250" spans="1:7" ht="16" x14ac:dyDescent="0.2">
      <c r="A250" s="794" t="s">
        <v>341</v>
      </c>
      <c r="B250" s="1178"/>
      <c r="C250" s="1178"/>
      <c r="D250" s="1178"/>
      <c r="E250" s="1178"/>
      <c r="F250" s="1178"/>
      <c r="G250" s="1008" t="str">
        <f>'1. Instructions'!B5</f>
        <v>Revised 4-5-2022</v>
      </c>
    </row>
    <row r="251" spans="1:7" ht="16" hidden="1" x14ac:dyDescent="0.2">
      <c r="A251" s="777" t="s">
        <v>296</v>
      </c>
      <c r="B251" s="775"/>
      <c r="C251" s="775"/>
      <c r="D251" s="775"/>
      <c r="E251" s="775"/>
      <c r="F251" s="775"/>
      <c r="G251" s="848"/>
    </row>
    <row r="252" spans="1:7" hidden="1" x14ac:dyDescent="0.2">
      <c r="A252" s="822" t="s">
        <v>1152</v>
      </c>
      <c r="B252" s="1184">
        <f>'12. Materials'!B5</f>
        <v>0</v>
      </c>
      <c r="C252" s="804">
        <v>1</v>
      </c>
      <c r="D252" s="765" t="s">
        <v>297</v>
      </c>
      <c r="E252" s="765"/>
      <c r="F252" s="765"/>
      <c r="G252" s="851"/>
    </row>
    <row r="253" spans="1:7" hidden="1" x14ac:dyDescent="0.2">
      <c r="A253" s="822" t="s">
        <v>1153</v>
      </c>
      <c r="B253" s="1184">
        <f>'12. Materials'!B6</f>
        <v>0</v>
      </c>
      <c r="C253" s="797" t="s">
        <v>72</v>
      </c>
      <c r="D253" s="765" t="s">
        <v>301</v>
      </c>
      <c r="E253" s="765"/>
      <c r="F253" s="765"/>
      <c r="G253" s="851"/>
    </row>
    <row r="254" spans="1:7" hidden="1" x14ac:dyDescent="0.2">
      <c r="A254" s="799"/>
      <c r="B254" s="765"/>
      <c r="C254" s="765"/>
      <c r="D254" s="1184">
        <f>'12. Materials'!D7</f>
        <v>0</v>
      </c>
      <c r="E254" s="800" t="s">
        <v>792</v>
      </c>
      <c r="F254" s="800"/>
      <c r="G254" s="852"/>
    </row>
    <row r="255" spans="1:7" hidden="1" x14ac:dyDescent="0.2">
      <c r="A255" s="799"/>
      <c r="B255" s="765"/>
      <c r="C255" s="765"/>
      <c r="D255" s="1184">
        <f>'12. Materials'!D8</f>
        <v>0</v>
      </c>
      <c r="E255" s="800" t="s">
        <v>925</v>
      </c>
      <c r="F255" s="800"/>
      <c r="G255" s="852"/>
    </row>
    <row r="256" spans="1:7" hidden="1" x14ac:dyDescent="0.2">
      <c r="A256" s="822" t="s">
        <v>1145</v>
      </c>
      <c r="B256" s="1184">
        <f>'12. Materials'!B9</f>
        <v>0</v>
      </c>
      <c r="C256" s="804">
        <v>1</v>
      </c>
      <c r="D256" s="765" t="s">
        <v>302</v>
      </c>
      <c r="E256" s="765"/>
      <c r="F256" s="765"/>
      <c r="G256" s="851"/>
    </row>
    <row r="257" spans="1:7" hidden="1" x14ac:dyDescent="0.2">
      <c r="A257" s="822" t="s">
        <v>1146</v>
      </c>
      <c r="B257" s="1184">
        <f>'12. Materials'!B10</f>
        <v>0</v>
      </c>
      <c r="C257" s="804">
        <v>1</v>
      </c>
      <c r="D257" s="798" t="s">
        <v>303</v>
      </c>
      <c r="E257" s="798"/>
      <c r="F257" s="798"/>
      <c r="G257" s="853"/>
    </row>
    <row r="258" spans="1:7" x14ac:dyDescent="0.2">
      <c r="A258" s="822" t="s">
        <v>1147</v>
      </c>
      <c r="B258" s="1184">
        <f>'12. Materials'!B11</f>
        <v>0</v>
      </c>
      <c r="C258" s="804">
        <v>1</v>
      </c>
      <c r="D258" s="1304" t="s">
        <v>304</v>
      </c>
      <c r="E258" s="1294"/>
      <c r="F258" s="1294"/>
      <c r="G258" s="1306"/>
    </row>
    <row r="259" spans="1:7" hidden="1" x14ac:dyDescent="0.2">
      <c r="A259" s="822" t="s">
        <v>1148</v>
      </c>
      <c r="B259" s="1184">
        <f>'12. Materials'!B12</f>
        <v>0</v>
      </c>
      <c r="C259" s="804">
        <v>1</v>
      </c>
      <c r="D259" s="765" t="s">
        <v>305</v>
      </c>
      <c r="E259" s="765"/>
      <c r="F259" s="765"/>
      <c r="G259" s="851"/>
    </row>
    <row r="260" spans="1:7" x14ac:dyDescent="0.2">
      <c r="A260" s="822" t="s">
        <v>1149</v>
      </c>
      <c r="B260" s="1184">
        <f>'12. Materials'!B13</f>
        <v>0</v>
      </c>
      <c r="C260" s="804">
        <v>1</v>
      </c>
      <c r="D260" s="1299" t="s">
        <v>306</v>
      </c>
      <c r="E260" s="1299"/>
      <c r="F260" s="1299"/>
      <c r="G260" s="1307"/>
    </row>
    <row r="261" spans="1:7" hidden="1" x14ac:dyDescent="0.2">
      <c r="A261" s="822" t="s">
        <v>1150</v>
      </c>
      <c r="B261" s="1184">
        <f>'12. Materials'!B14</f>
        <v>0</v>
      </c>
      <c r="C261" s="804">
        <v>1</v>
      </c>
      <c r="D261" s="765" t="s">
        <v>307</v>
      </c>
      <c r="E261" s="765"/>
      <c r="F261" s="765"/>
      <c r="G261" s="851"/>
    </row>
    <row r="262" spans="1:7" x14ac:dyDescent="0.2">
      <c r="A262" s="822" t="s">
        <v>1151</v>
      </c>
      <c r="B262" s="1184">
        <f>'12. Materials'!B15</f>
        <v>0</v>
      </c>
      <c r="C262" s="804">
        <v>1</v>
      </c>
      <c r="D262" s="1299" t="s">
        <v>311</v>
      </c>
      <c r="E262" s="1299"/>
      <c r="F262" s="1299"/>
      <c r="G262" s="1307"/>
    </row>
    <row r="263" spans="1:7" hidden="1" x14ac:dyDescent="0.2">
      <c r="A263" s="822" t="s">
        <v>709</v>
      </c>
      <c r="B263" s="1184">
        <f>'12. Materials'!B16</f>
        <v>0</v>
      </c>
      <c r="C263" s="804">
        <v>1</v>
      </c>
      <c r="D263" s="765" t="s">
        <v>312</v>
      </c>
      <c r="E263" s="765"/>
      <c r="F263" s="765"/>
      <c r="G263" s="851"/>
    </row>
    <row r="264" spans="1:7" hidden="1" x14ac:dyDescent="0.2">
      <c r="A264" s="822" t="s">
        <v>710</v>
      </c>
      <c r="B264" s="1184">
        <f>'12. Materials'!B17</f>
        <v>0</v>
      </c>
      <c r="C264" s="804">
        <v>1</v>
      </c>
      <c r="D264" s="765" t="s">
        <v>313</v>
      </c>
      <c r="E264" s="765"/>
      <c r="F264" s="765"/>
      <c r="G264" s="851"/>
    </row>
    <row r="265" spans="1:7" x14ac:dyDescent="0.2">
      <c r="A265" s="822" t="s">
        <v>711</v>
      </c>
      <c r="B265" s="1184">
        <f>'12. Materials'!B18</f>
        <v>1</v>
      </c>
      <c r="C265" s="860" t="s">
        <v>93</v>
      </c>
      <c r="D265" s="1299" t="s">
        <v>314</v>
      </c>
      <c r="E265" s="1299"/>
      <c r="F265" s="1299"/>
      <c r="G265" s="1307"/>
    </row>
    <row r="266" spans="1:7" s="784" customFormat="1" x14ac:dyDescent="0.2">
      <c r="A266" s="799"/>
      <c r="B266" s="765"/>
      <c r="C266" s="765"/>
      <c r="D266" s="1184">
        <f>'12. Materials'!D19</f>
        <v>0</v>
      </c>
      <c r="E266" s="1300" t="s">
        <v>793</v>
      </c>
      <c r="F266" s="1300"/>
      <c r="G266" s="1305"/>
    </row>
    <row r="267" spans="1:7" x14ac:dyDescent="0.2">
      <c r="A267" s="799"/>
      <c r="B267" s="765"/>
      <c r="C267" s="765"/>
      <c r="D267" s="1184">
        <f>'12. Materials'!D20</f>
        <v>0</v>
      </c>
      <c r="E267" s="800" t="s">
        <v>437</v>
      </c>
      <c r="F267" s="800"/>
      <c r="G267" s="852"/>
    </row>
    <row r="268" spans="1:7" x14ac:dyDescent="0.2">
      <c r="A268" s="799"/>
      <c r="B268" s="765"/>
      <c r="C268" s="765"/>
      <c r="D268" s="1184" t="str">
        <f>'12. Materials'!D21</f>
        <v>Yes</v>
      </c>
      <c r="E268" s="1286" t="s">
        <v>794</v>
      </c>
      <c r="F268" s="1286"/>
      <c r="G268" s="1308"/>
    </row>
    <row r="269" spans="1:7" x14ac:dyDescent="0.2">
      <c r="A269" s="799" t="s">
        <v>1310</v>
      </c>
      <c r="B269" s="1203">
        <f>'12. Materials'!B22</f>
        <v>0</v>
      </c>
      <c r="C269" s="59">
        <v>2</v>
      </c>
      <c r="D269" s="1450" t="s">
        <v>1387</v>
      </c>
      <c r="E269" s="1450"/>
      <c r="F269" s="1450"/>
      <c r="G269" s="1451"/>
    </row>
    <row r="270" spans="1:7" x14ac:dyDescent="0.2">
      <c r="A270" s="799"/>
      <c r="B270" s="765"/>
      <c r="C270" s="765"/>
      <c r="D270" s="765"/>
      <c r="E270" s="765"/>
      <c r="F270" s="765"/>
      <c r="G270" s="851"/>
    </row>
    <row r="271" spans="1:7" ht="16" x14ac:dyDescent="0.2">
      <c r="A271" s="777" t="s">
        <v>315</v>
      </c>
      <c r="B271" s="775"/>
      <c r="C271" s="775"/>
      <c r="D271" s="775"/>
      <c r="E271" s="775"/>
      <c r="F271" s="775"/>
      <c r="G271" s="785"/>
    </row>
    <row r="272" spans="1:7" hidden="1" x14ac:dyDescent="0.2">
      <c r="A272" s="822" t="s">
        <v>1142</v>
      </c>
      <c r="B272" s="1184">
        <f>'12. Materials'!B25</f>
        <v>0</v>
      </c>
      <c r="C272" s="804">
        <v>3</v>
      </c>
      <c r="D272" s="842" t="s">
        <v>768</v>
      </c>
      <c r="E272" s="765"/>
      <c r="F272" s="765"/>
      <c r="G272" s="785"/>
    </row>
    <row r="273" spans="1:7" x14ac:dyDescent="0.2">
      <c r="A273" s="822" t="s">
        <v>1143</v>
      </c>
      <c r="B273" s="1184">
        <f>'12. Materials'!B26</f>
        <v>0</v>
      </c>
      <c r="C273" s="804">
        <v>2</v>
      </c>
      <c r="D273" s="1313" t="s">
        <v>454</v>
      </c>
      <c r="E273" s="1299"/>
      <c r="F273" s="1299"/>
      <c r="G273" s="1301"/>
    </row>
    <row r="274" spans="1:7" x14ac:dyDescent="0.2">
      <c r="A274" s="822" t="s">
        <v>1144</v>
      </c>
      <c r="B274" s="1184">
        <f>'12. Materials'!B27</f>
        <v>0</v>
      </c>
      <c r="C274" s="804" t="s">
        <v>317</v>
      </c>
      <c r="D274" s="1311" t="s">
        <v>318</v>
      </c>
      <c r="E274" s="1299"/>
      <c r="F274" s="1299"/>
      <c r="G274" s="1301"/>
    </row>
    <row r="275" spans="1:7" ht="16" x14ac:dyDescent="0.2">
      <c r="A275" s="799"/>
      <c r="B275" s="765"/>
      <c r="C275" s="765"/>
      <c r="D275" s="1184">
        <f>'12. Materials'!D28</f>
        <v>0</v>
      </c>
      <c r="E275" s="1299" t="s">
        <v>319</v>
      </c>
      <c r="F275" s="1314"/>
      <c r="G275" s="1301"/>
    </row>
    <row r="276" spans="1:7" ht="16" x14ac:dyDescent="0.2">
      <c r="A276" s="799"/>
      <c r="B276" s="765"/>
      <c r="C276" s="765"/>
      <c r="D276" s="1473">
        <f>'12. Materials'!D29</f>
        <v>0</v>
      </c>
      <c r="E276" s="1473"/>
      <c r="F276" s="775" t="s">
        <v>795</v>
      </c>
      <c r="G276" s="785"/>
    </row>
    <row r="277" spans="1:7" x14ac:dyDescent="0.2">
      <c r="A277" s="796" t="s">
        <v>1136</v>
      </c>
      <c r="B277" s="1184">
        <f>'12. Materials'!B30</f>
        <v>0</v>
      </c>
      <c r="C277" s="804">
        <v>1</v>
      </c>
      <c r="D277" s="1298" t="s">
        <v>320</v>
      </c>
      <c r="E277" s="1298"/>
      <c r="F277" s="1298"/>
      <c r="G277" s="1288"/>
    </row>
    <row r="278" spans="1:7" x14ac:dyDescent="0.2">
      <c r="A278" s="796" t="s">
        <v>1137</v>
      </c>
      <c r="B278" s="1184">
        <f>'12. Materials'!B31</f>
        <v>2</v>
      </c>
      <c r="C278" s="797" t="s">
        <v>47</v>
      </c>
      <c r="D278" s="1298" t="s">
        <v>566</v>
      </c>
      <c r="E278" s="1298"/>
      <c r="F278" s="1298"/>
      <c r="G278" s="1288"/>
    </row>
    <row r="279" spans="1:7" x14ac:dyDescent="0.2">
      <c r="A279" s="824"/>
      <c r="B279" s="764"/>
      <c r="C279" s="764"/>
      <c r="D279" s="1184" t="str">
        <f>'12. Materials'!D32</f>
        <v>Yes</v>
      </c>
      <c r="E279" s="1294" t="s">
        <v>299</v>
      </c>
      <c r="F279" s="1184" t="str">
        <f>'12. Materials'!F32</f>
        <v>Yes</v>
      </c>
      <c r="G279" s="1288" t="s">
        <v>300</v>
      </c>
    </row>
    <row r="280" spans="1:7" hidden="1" x14ac:dyDescent="0.2">
      <c r="A280" s="822" t="s">
        <v>1138</v>
      </c>
      <c r="B280" s="1184">
        <f>'12. Materials'!B33</f>
        <v>0</v>
      </c>
      <c r="C280" s="804">
        <v>1</v>
      </c>
      <c r="D280" s="765" t="s">
        <v>309</v>
      </c>
      <c r="E280" s="765"/>
      <c r="F280" s="765"/>
      <c r="G280" s="785"/>
    </row>
    <row r="281" spans="1:7" x14ac:dyDescent="0.2">
      <c r="A281" s="822" t="s">
        <v>1139</v>
      </c>
      <c r="B281" s="1184">
        <f>'12. Materials'!B34</f>
        <v>1</v>
      </c>
      <c r="C281" s="804">
        <v>1</v>
      </c>
      <c r="D281" s="1294" t="s">
        <v>310</v>
      </c>
      <c r="E281" s="1294"/>
      <c r="F281" s="1294"/>
      <c r="G281" s="1306"/>
    </row>
    <row r="282" spans="1:7" hidden="1" x14ac:dyDescent="0.2">
      <c r="A282" s="822" t="s">
        <v>1140</v>
      </c>
      <c r="B282" s="1184">
        <f>'12. Materials'!B35</f>
        <v>0</v>
      </c>
      <c r="C282" s="804">
        <v>1</v>
      </c>
      <c r="D282" s="765" t="s">
        <v>321</v>
      </c>
      <c r="E282" s="765"/>
      <c r="F282" s="765"/>
      <c r="G282" s="851"/>
    </row>
    <row r="283" spans="1:7" hidden="1" x14ac:dyDescent="0.2">
      <c r="A283" s="822" t="s">
        <v>1141</v>
      </c>
      <c r="B283" s="1184">
        <f>'12. Materials'!B36</f>
        <v>0</v>
      </c>
      <c r="C283" s="804">
        <v>1</v>
      </c>
      <c r="D283" s="765" t="s">
        <v>939</v>
      </c>
      <c r="E283" s="765"/>
      <c r="F283" s="765"/>
      <c r="G283" s="851"/>
    </row>
    <row r="284" spans="1:7" hidden="1" x14ac:dyDescent="0.2">
      <c r="A284" s="822" t="s">
        <v>721</v>
      </c>
      <c r="B284" s="1184">
        <f>'12. Materials'!B37</f>
        <v>0</v>
      </c>
      <c r="C284" s="804">
        <v>1</v>
      </c>
      <c r="D284" s="765" t="s">
        <v>323</v>
      </c>
      <c r="E284" s="765"/>
      <c r="F284" s="765"/>
      <c r="G284" s="851"/>
    </row>
    <row r="285" spans="1:7" x14ac:dyDescent="0.2">
      <c r="A285" s="822" t="s">
        <v>722</v>
      </c>
      <c r="B285" s="1184">
        <f>'12. Materials'!B38</f>
        <v>0</v>
      </c>
      <c r="C285" s="804">
        <v>1</v>
      </c>
      <c r="D285" s="1299" t="s">
        <v>324</v>
      </c>
      <c r="E285" s="1299"/>
      <c r="F285" s="1299"/>
      <c r="G285" s="1307"/>
    </row>
    <row r="286" spans="1:7" x14ac:dyDescent="0.2">
      <c r="A286" s="822" t="s">
        <v>723</v>
      </c>
      <c r="B286" s="1184">
        <f>'12. Materials'!B39</f>
        <v>0</v>
      </c>
      <c r="C286" s="804">
        <v>1</v>
      </c>
      <c r="D286" s="1299" t="s">
        <v>923</v>
      </c>
      <c r="E286" s="1299"/>
      <c r="F286" s="1299"/>
      <c r="G286" s="1307"/>
    </row>
    <row r="287" spans="1:7" x14ac:dyDescent="0.2">
      <c r="A287" s="799"/>
      <c r="B287" s="765"/>
      <c r="C287" s="765"/>
      <c r="D287" s="765"/>
      <c r="E287" s="765"/>
      <c r="F287" s="765"/>
      <c r="G287" s="851"/>
    </row>
    <row r="288" spans="1:7" ht="16" x14ac:dyDescent="0.2">
      <c r="A288" s="777" t="s">
        <v>326</v>
      </c>
      <c r="B288" s="775"/>
      <c r="C288" s="775"/>
      <c r="D288" s="775"/>
      <c r="E288" s="775"/>
      <c r="F288" s="775"/>
      <c r="G288" s="848"/>
    </row>
    <row r="289" spans="1:7" x14ac:dyDescent="0.2">
      <c r="A289" s="796" t="s">
        <v>1127</v>
      </c>
      <c r="B289" s="1184">
        <f>'12. Materials'!B42</f>
        <v>1</v>
      </c>
      <c r="C289" s="804">
        <v>1</v>
      </c>
      <c r="D289" s="1298" t="s">
        <v>950</v>
      </c>
      <c r="E289" s="1298"/>
      <c r="F289" s="1298"/>
      <c r="G289" s="1309"/>
    </row>
    <row r="290" spans="1:7" x14ac:dyDescent="0.2">
      <c r="A290" s="796" t="s">
        <v>1128</v>
      </c>
      <c r="B290" s="1184">
        <f>'12. Materials'!B43</f>
        <v>1</v>
      </c>
      <c r="C290" s="804">
        <v>1</v>
      </c>
      <c r="D290" s="1294" t="s">
        <v>327</v>
      </c>
      <c r="E290" s="1294"/>
      <c r="F290" s="1294"/>
      <c r="G290" s="1306"/>
    </row>
    <row r="291" spans="1:7" hidden="1" x14ac:dyDescent="0.2">
      <c r="A291" s="796" t="s">
        <v>1129</v>
      </c>
      <c r="B291" s="1184">
        <f>'12. Materials'!B44</f>
        <v>0</v>
      </c>
      <c r="C291" s="804">
        <v>1</v>
      </c>
      <c r="D291" s="765" t="s">
        <v>328</v>
      </c>
      <c r="E291" s="765"/>
      <c r="F291" s="765"/>
      <c r="G291" s="851"/>
    </row>
    <row r="292" spans="1:7" x14ac:dyDescent="0.2">
      <c r="A292" s="796" t="s">
        <v>1130</v>
      </c>
      <c r="B292" s="1184">
        <f>'12. Materials'!B45</f>
        <v>0</v>
      </c>
      <c r="C292" s="804">
        <v>1</v>
      </c>
      <c r="D292" s="1315" t="s">
        <v>567</v>
      </c>
      <c r="E292" s="1315"/>
      <c r="F292" s="1315"/>
      <c r="G292" s="1316"/>
    </row>
    <row r="293" spans="1:7" hidden="1" x14ac:dyDescent="0.2">
      <c r="A293" s="796" t="s">
        <v>1131</v>
      </c>
      <c r="B293" s="1184">
        <f>'12. Materials'!B46</f>
        <v>0</v>
      </c>
      <c r="C293" s="804">
        <v>1</v>
      </c>
      <c r="D293" s="765" t="s">
        <v>330</v>
      </c>
      <c r="E293" s="765"/>
      <c r="F293" s="765"/>
      <c r="G293" s="785"/>
    </row>
    <row r="294" spans="1:7" hidden="1" x14ac:dyDescent="0.2">
      <c r="A294" s="796" t="s">
        <v>1132</v>
      </c>
      <c r="B294" s="1184">
        <f>'12. Materials'!B47</f>
        <v>0</v>
      </c>
      <c r="C294" s="804">
        <v>1</v>
      </c>
      <c r="D294" s="765" t="s">
        <v>332</v>
      </c>
      <c r="E294" s="765"/>
      <c r="F294" s="765"/>
      <c r="G294" s="785"/>
    </row>
    <row r="295" spans="1:7" hidden="1" x14ac:dyDescent="0.2">
      <c r="A295" s="796" t="s">
        <v>1133</v>
      </c>
      <c r="B295" s="1184">
        <f>'12. Materials'!B48</f>
        <v>0</v>
      </c>
      <c r="C295" s="804">
        <v>1</v>
      </c>
      <c r="D295" s="765" t="s">
        <v>515</v>
      </c>
      <c r="E295" s="765"/>
      <c r="F295" s="765"/>
      <c r="G295" s="785"/>
    </row>
    <row r="296" spans="1:7" x14ac:dyDescent="0.2">
      <c r="A296" s="796" t="s">
        <v>1134</v>
      </c>
      <c r="B296" s="1184">
        <f>'12. Materials'!B49</f>
        <v>1</v>
      </c>
      <c r="C296" s="804">
        <v>1</v>
      </c>
      <c r="D296" s="1286" t="s">
        <v>568</v>
      </c>
      <c r="E296" s="1286"/>
      <c r="F296" s="1286"/>
      <c r="G296" s="1288"/>
    </row>
    <row r="297" spans="1:7" hidden="1" x14ac:dyDescent="0.2">
      <c r="A297" s="796" t="s">
        <v>1135</v>
      </c>
      <c r="B297" s="1184">
        <f>'12. Materials'!B50</f>
        <v>0</v>
      </c>
      <c r="C297" s="804">
        <v>2</v>
      </c>
      <c r="D297" s="765" t="s">
        <v>333</v>
      </c>
      <c r="E297" s="765"/>
      <c r="F297" s="765"/>
      <c r="G297" s="785"/>
    </row>
    <row r="298" spans="1:7" x14ac:dyDescent="0.2">
      <c r="A298" s="796" t="s">
        <v>732</v>
      </c>
      <c r="B298" s="1184">
        <f>'12. Materials'!B51</f>
        <v>1</v>
      </c>
      <c r="C298" s="804">
        <v>1</v>
      </c>
      <c r="D298" s="1298" t="s">
        <v>456</v>
      </c>
      <c r="E298" s="1298"/>
      <c r="F298" s="1298"/>
      <c r="G298" s="1309"/>
    </row>
    <row r="299" spans="1:7" hidden="1" x14ac:dyDescent="0.2">
      <c r="A299" s="796" t="s">
        <v>733</v>
      </c>
      <c r="B299" s="1184">
        <f>'12. Materials'!B52</f>
        <v>0</v>
      </c>
      <c r="C299" s="804">
        <v>1</v>
      </c>
      <c r="D299" s="765" t="s">
        <v>335</v>
      </c>
      <c r="E299" s="765"/>
      <c r="F299" s="765"/>
      <c r="G299" s="851"/>
    </row>
    <row r="300" spans="1:7" x14ac:dyDescent="0.2">
      <c r="A300" s="1060"/>
      <c r="B300" s="1061">
        <f>'12. Materials'!B53</f>
        <v>8</v>
      </c>
      <c r="C300" s="1062">
        <v>47</v>
      </c>
      <c r="D300" s="1065" t="s">
        <v>111</v>
      </c>
      <c r="E300" s="1065"/>
      <c r="F300" s="760"/>
      <c r="G300" s="845"/>
    </row>
    <row r="301" spans="1:7" ht="21" customHeight="1" x14ac:dyDescent="0.2">
      <c r="A301" s="799"/>
      <c r="B301" s="765"/>
      <c r="C301" s="765"/>
      <c r="D301" s="765"/>
      <c r="E301" s="765"/>
      <c r="F301" s="765"/>
      <c r="G301" s="851"/>
    </row>
    <row r="302" spans="1:7" ht="19" x14ac:dyDescent="0.25">
      <c r="A302" s="799"/>
      <c r="B302" s="772">
        <f>'12. Materials'!B55</f>
        <v>8</v>
      </c>
      <c r="C302" s="812" t="s">
        <v>336</v>
      </c>
      <c r="D302" s="812"/>
      <c r="E302" s="812"/>
      <c r="F302" s="812"/>
      <c r="G302" s="854"/>
    </row>
    <row r="303" spans="1:7" ht="16" thickBot="1" x14ac:dyDescent="0.25">
      <c r="A303" s="1182" t="s">
        <v>337</v>
      </c>
      <c r="B303" s="789"/>
      <c r="C303" s="789"/>
      <c r="D303" s="1458">
        <f>'12. Materials'!E57</f>
        <v>0</v>
      </c>
      <c r="E303" s="1458"/>
      <c r="F303" s="1458"/>
      <c r="G303" s="1459"/>
    </row>
    <row r="304" spans="1:7" ht="19" x14ac:dyDescent="0.25">
      <c r="A304" s="780" t="s">
        <v>801</v>
      </c>
      <c r="B304" s="781"/>
      <c r="C304" s="781"/>
      <c r="D304" s="781"/>
      <c r="E304" s="781"/>
      <c r="F304" s="781"/>
      <c r="G304" s="1005" t="str">
        <f>'1. Instructions'!B2</f>
        <v>Version 12 Rev 1.0</v>
      </c>
    </row>
    <row r="305" spans="1:7" ht="16" x14ac:dyDescent="0.2">
      <c r="A305" s="794" t="s">
        <v>222</v>
      </c>
      <c r="B305" s="1178"/>
      <c r="C305" s="1178"/>
      <c r="D305" s="1178"/>
      <c r="E305" s="1178"/>
      <c r="F305" s="1178"/>
      <c r="G305" s="1007" t="str">
        <f>'1. Instructions'!B5</f>
        <v>Revised 4-5-2022</v>
      </c>
    </row>
    <row r="306" spans="1:7" ht="16" x14ac:dyDescent="0.2">
      <c r="A306" s="777" t="s">
        <v>1215</v>
      </c>
      <c r="B306" s="775"/>
      <c r="C306" s="775"/>
      <c r="D306" s="775"/>
      <c r="E306" s="775"/>
      <c r="F306" s="795"/>
      <c r="G306" s="785"/>
    </row>
    <row r="307" spans="1:7" hidden="1" x14ac:dyDescent="0.2">
      <c r="A307" s="796" t="s">
        <v>1154</v>
      </c>
      <c r="B307" s="1184">
        <f>'13. Disaster Mitigation'!B5</f>
        <v>0</v>
      </c>
      <c r="C307" s="804">
        <v>2</v>
      </c>
      <c r="D307" s="765" t="s">
        <v>343</v>
      </c>
      <c r="E307" s="765"/>
      <c r="F307" s="1185"/>
      <c r="G307" s="785"/>
    </row>
    <row r="308" spans="1:7" hidden="1" x14ac:dyDescent="0.2">
      <c r="A308" s="796" t="s">
        <v>1155</v>
      </c>
      <c r="B308" s="1184">
        <f>'13. Disaster Mitigation'!B6</f>
        <v>0</v>
      </c>
      <c r="C308" s="804">
        <v>2</v>
      </c>
      <c r="D308" s="765" t="s">
        <v>436</v>
      </c>
      <c r="E308" s="765"/>
      <c r="F308" s="1185"/>
      <c r="G308" s="785"/>
    </row>
    <row r="309" spans="1:7" x14ac:dyDescent="0.2">
      <c r="A309" s="796" t="s">
        <v>1156</v>
      </c>
      <c r="B309" s="1184">
        <f>'13. Disaster Mitigation'!B7</f>
        <v>2</v>
      </c>
      <c r="C309" s="804">
        <v>2</v>
      </c>
      <c r="D309" s="1294" t="s">
        <v>457</v>
      </c>
      <c r="E309" s="1294"/>
      <c r="F309" s="1292"/>
      <c r="G309" s="1288"/>
    </row>
    <row r="310" spans="1:7" s="784" customFormat="1" hidden="1" x14ac:dyDescent="0.2">
      <c r="A310" s="796" t="s">
        <v>1157</v>
      </c>
      <c r="B310" s="1184">
        <f>'13. Disaster Mitigation'!B8</f>
        <v>0</v>
      </c>
      <c r="C310" s="804">
        <v>1</v>
      </c>
      <c r="D310" s="765" t="s">
        <v>519</v>
      </c>
      <c r="E310" s="765"/>
      <c r="F310" s="1185"/>
      <c r="G310" s="785"/>
    </row>
    <row r="311" spans="1:7" s="784" customFormat="1" x14ac:dyDescent="0.2">
      <c r="A311" s="796" t="s">
        <v>1158</v>
      </c>
      <c r="B311" s="1184">
        <f>'13. Disaster Mitigation'!B9</f>
        <v>1</v>
      </c>
      <c r="C311" s="804">
        <v>1</v>
      </c>
      <c r="D311" s="1286" t="s">
        <v>569</v>
      </c>
      <c r="E311" s="1286"/>
      <c r="F311" s="1292"/>
      <c r="G311" s="1288"/>
    </row>
    <row r="312" spans="1:7" hidden="1" x14ac:dyDescent="0.2">
      <c r="A312" s="796" t="s">
        <v>1159</v>
      </c>
      <c r="B312" s="1184">
        <f>'13. Disaster Mitigation'!B10</f>
        <v>0</v>
      </c>
      <c r="C312" s="804">
        <v>2</v>
      </c>
      <c r="D312" s="765" t="s">
        <v>345</v>
      </c>
      <c r="E312" s="765"/>
      <c r="F312" s="1185"/>
      <c r="G312" s="785"/>
    </row>
    <row r="313" spans="1:7" hidden="1" x14ac:dyDescent="0.2">
      <c r="A313" s="796" t="s">
        <v>1160</v>
      </c>
      <c r="B313" s="1184">
        <f>'13. Disaster Mitigation'!B11</f>
        <v>0</v>
      </c>
      <c r="C313" s="804">
        <v>2</v>
      </c>
      <c r="D313" s="765" t="s">
        <v>346</v>
      </c>
      <c r="E313" s="765"/>
      <c r="F313" s="1185"/>
      <c r="G313" s="785"/>
    </row>
    <row r="314" spans="1:7" x14ac:dyDescent="0.2">
      <c r="A314" s="796" t="s">
        <v>1161</v>
      </c>
      <c r="B314" s="1184">
        <f>'13. Disaster Mitigation'!B12</f>
        <v>2</v>
      </c>
      <c r="C314" s="804">
        <v>2</v>
      </c>
      <c r="D314" s="1294" t="s">
        <v>1230</v>
      </c>
      <c r="E314" s="1294"/>
      <c r="F314" s="1292"/>
      <c r="G314" s="1288"/>
    </row>
    <row r="315" spans="1:7" x14ac:dyDescent="0.2">
      <c r="A315" s="796" t="s">
        <v>1228</v>
      </c>
      <c r="B315" s="1184">
        <f>'13. Disaster Mitigation'!B13</f>
        <v>0</v>
      </c>
      <c r="C315" s="804">
        <v>2</v>
      </c>
      <c r="D315" s="1299" t="s">
        <v>1227</v>
      </c>
      <c r="E315" s="1299"/>
      <c r="F315" s="1317"/>
      <c r="G315" s="1301"/>
    </row>
    <row r="316" spans="1:7" hidden="1" x14ac:dyDescent="0.2">
      <c r="A316" s="796" t="s">
        <v>1229</v>
      </c>
      <c r="B316" s="1184">
        <f>'13. Disaster Mitigation'!B14</f>
        <v>0</v>
      </c>
      <c r="C316" s="804">
        <v>5</v>
      </c>
      <c r="D316" s="831" t="s">
        <v>757</v>
      </c>
      <c r="E316" s="831"/>
      <c r="F316" s="1185"/>
      <c r="G316" s="785"/>
    </row>
    <row r="317" spans="1:7" ht="16" x14ac:dyDescent="0.2">
      <c r="A317" s="777" t="s">
        <v>1233</v>
      </c>
      <c r="B317" s="775"/>
      <c r="C317" s="775"/>
      <c r="D317" s="775"/>
      <c r="E317" s="775"/>
      <c r="F317" s="795"/>
      <c r="G317" s="785"/>
    </row>
    <row r="318" spans="1:7" x14ac:dyDescent="0.2">
      <c r="A318" s="796" t="s">
        <v>747</v>
      </c>
      <c r="B318" s="1184">
        <f>'13. Disaster Mitigation'!B17</f>
        <v>0</v>
      </c>
      <c r="C318" s="804">
        <v>3</v>
      </c>
      <c r="D318" s="1184">
        <f>'13. Disaster Mitigation'!D17</f>
        <v>0</v>
      </c>
      <c r="E318" s="1299" t="s">
        <v>349</v>
      </c>
      <c r="F318" s="1317"/>
      <c r="G318" s="1301"/>
    </row>
    <row r="319" spans="1:7" x14ac:dyDescent="0.2">
      <c r="A319" s="799"/>
      <c r="B319" s="765"/>
      <c r="C319" s="765"/>
      <c r="D319" s="1184">
        <f>'13. Disaster Mitigation'!D18</f>
        <v>0</v>
      </c>
      <c r="E319" s="1299" t="s">
        <v>350</v>
      </c>
      <c r="F319" s="1317"/>
      <c r="G319" s="1301"/>
    </row>
    <row r="320" spans="1:7" x14ac:dyDescent="0.2">
      <c r="A320" s="799"/>
      <c r="B320" s="765"/>
      <c r="C320" s="765"/>
      <c r="D320" s="1184">
        <f>'13. Disaster Mitigation'!D19</f>
        <v>0</v>
      </c>
      <c r="E320" s="1315" t="s">
        <v>758</v>
      </c>
      <c r="F320" s="1317"/>
      <c r="G320" s="1301"/>
    </row>
    <row r="321" spans="1:20" ht="16" hidden="1" x14ac:dyDescent="0.2">
      <c r="A321" s="777" t="s">
        <v>935</v>
      </c>
      <c r="B321" s="775"/>
      <c r="C321" s="775"/>
      <c r="D321" s="775"/>
      <c r="E321" s="775"/>
      <c r="F321" s="795"/>
      <c r="G321" s="785"/>
    </row>
    <row r="322" spans="1:20" s="784" customFormat="1" hidden="1" x14ac:dyDescent="0.2">
      <c r="A322" s="796" t="s">
        <v>1162</v>
      </c>
      <c r="B322" s="1184">
        <f>'13. Disaster Mitigation'!B22</f>
        <v>0</v>
      </c>
      <c r="C322" s="804">
        <v>3</v>
      </c>
      <c r="D322" s="1184">
        <f>'13. Disaster Mitigation'!D22</f>
        <v>0</v>
      </c>
      <c r="E322" s="765" t="s">
        <v>352</v>
      </c>
      <c r="F322" s="1185"/>
      <c r="G322" s="785"/>
    </row>
    <row r="323" spans="1:20" hidden="1" x14ac:dyDescent="0.2">
      <c r="A323" s="799"/>
      <c r="B323" s="765"/>
      <c r="C323" s="765"/>
      <c r="D323" s="1184">
        <f>'13. Disaster Mitigation'!D23</f>
        <v>0</v>
      </c>
      <c r="E323" s="765" t="s">
        <v>353</v>
      </c>
      <c r="F323" s="1185"/>
      <c r="G323" s="785"/>
    </row>
    <row r="324" spans="1:20" hidden="1" x14ac:dyDescent="0.2">
      <c r="A324" s="799"/>
      <c r="B324" s="765"/>
      <c r="C324" s="765"/>
      <c r="D324" s="1184">
        <f>'13. Disaster Mitigation'!D24</f>
        <v>0</v>
      </c>
      <c r="E324" s="765" t="s">
        <v>354</v>
      </c>
      <c r="F324" s="1185"/>
      <c r="G324" s="785"/>
    </row>
    <row r="325" spans="1:20" hidden="1" x14ac:dyDescent="0.2">
      <c r="A325" s="796" t="s">
        <v>1163</v>
      </c>
      <c r="B325" s="1184">
        <v>0</v>
      </c>
      <c r="C325" s="869">
        <v>3</v>
      </c>
      <c r="D325" s="750" t="s">
        <v>75</v>
      </c>
      <c r="E325" s="1197" t="s">
        <v>1231</v>
      </c>
      <c r="F325" s="1185"/>
      <c r="G325" s="785"/>
    </row>
    <row r="326" spans="1:20" ht="16" hidden="1" x14ac:dyDescent="0.2">
      <c r="A326" s="777" t="s">
        <v>769</v>
      </c>
      <c r="B326" s="775"/>
      <c r="C326" s="775"/>
      <c r="D326" s="775"/>
      <c r="E326" s="775"/>
      <c r="F326" s="795"/>
      <c r="G326" s="785"/>
    </row>
    <row r="327" spans="1:20" hidden="1" x14ac:dyDescent="0.2">
      <c r="A327" s="796" t="s">
        <v>746</v>
      </c>
      <c r="B327" s="1184">
        <f>'13. Disaster Mitigation'!B28</f>
        <v>0</v>
      </c>
      <c r="C327" s="823" t="s">
        <v>47</v>
      </c>
      <c r="D327" s="760" t="s">
        <v>770</v>
      </c>
      <c r="E327" s="760"/>
      <c r="F327" s="1185"/>
      <c r="G327" s="785"/>
    </row>
    <row r="328" spans="1:20" ht="16" hidden="1" x14ac:dyDescent="0.2">
      <c r="A328" s="777" t="s">
        <v>1225</v>
      </c>
      <c r="B328" s="775"/>
      <c r="C328" s="775"/>
      <c r="D328" s="775"/>
      <c r="E328" s="775"/>
      <c r="F328" s="795"/>
      <c r="G328" s="785"/>
    </row>
    <row r="329" spans="1:20" hidden="1" x14ac:dyDescent="0.2">
      <c r="A329" s="799"/>
      <c r="B329" s="1047">
        <v>10</v>
      </c>
      <c r="C329" s="765" t="s">
        <v>952</v>
      </c>
      <c r="D329" s="760"/>
      <c r="E329" s="760"/>
      <c r="F329" s="795"/>
      <c r="G329" s="785"/>
    </row>
    <row r="330" spans="1:20" hidden="1" x14ac:dyDescent="0.2">
      <c r="A330" s="799"/>
      <c r="B330" s="1047" t="s">
        <v>514</v>
      </c>
      <c r="C330" s="765" t="s">
        <v>951</v>
      </c>
      <c r="D330" s="760"/>
      <c r="E330" s="760"/>
      <c r="F330" s="795"/>
      <c r="G330" s="785"/>
    </row>
    <row r="331" spans="1:20" hidden="1" x14ac:dyDescent="0.2">
      <c r="A331" s="799"/>
      <c r="B331" s="1047" t="s">
        <v>514</v>
      </c>
      <c r="C331" s="765" t="s">
        <v>953</v>
      </c>
      <c r="D331" s="760"/>
      <c r="E331" s="760"/>
      <c r="F331" s="795"/>
      <c r="G331" s="785"/>
      <c r="H331" s="452"/>
      <c r="I331" s="452"/>
      <c r="J331" s="452"/>
      <c r="K331" s="452"/>
      <c r="L331" s="452"/>
      <c r="M331" s="452"/>
      <c r="N331" s="452"/>
      <c r="O331" s="452"/>
      <c r="P331" s="452"/>
      <c r="Q331" s="452"/>
      <c r="R331" s="452"/>
      <c r="S331" s="452"/>
      <c r="T331" s="452"/>
    </row>
    <row r="332" spans="1:20" hidden="1" x14ac:dyDescent="0.2">
      <c r="A332" s="796" t="s">
        <v>1164</v>
      </c>
      <c r="B332" s="770">
        <f>'13. Disaster Mitigation'!B34</f>
        <v>0</v>
      </c>
      <c r="C332" s="804">
        <v>10</v>
      </c>
      <c r="D332" s="874" t="s">
        <v>1220</v>
      </c>
      <c r="E332" s="862"/>
      <c r="F332" s="1185"/>
      <c r="G332" s="785"/>
      <c r="H332" s="452"/>
      <c r="I332" s="452"/>
      <c r="J332" s="452"/>
      <c r="K332" s="452"/>
      <c r="L332" s="452"/>
      <c r="M332" s="452"/>
      <c r="N332" s="452"/>
      <c r="O332" s="452"/>
      <c r="P332" s="452"/>
      <c r="Q332" s="452"/>
      <c r="R332" s="452"/>
      <c r="S332" s="452"/>
      <c r="T332" s="452"/>
    </row>
    <row r="333" spans="1:20" hidden="1" x14ac:dyDescent="0.2">
      <c r="A333" s="799"/>
      <c r="B333" s="765"/>
      <c r="C333" s="765"/>
      <c r="D333" s="1184">
        <f>'13. Disaster Mitigation'!D35</f>
        <v>0</v>
      </c>
      <c r="E333" s="765" t="s">
        <v>358</v>
      </c>
      <c r="F333" s="1185"/>
      <c r="G333" s="785"/>
    </row>
    <row r="334" spans="1:20" hidden="1" x14ac:dyDescent="0.2">
      <c r="A334" s="799"/>
      <c r="B334" s="765"/>
      <c r="C334" s="765"/>
      <c r="D334" s="1184">
        <f>'13. Disaster Mitigation'!D36</f>
        <v>0</v>
      </c>
      <c r="E334" s="765" t="s">
        <v>929</v>
      </c>
      <c r="F334" s="1185"/>
      <c r="G334" s="875"/>
    </row>
    <row r="335" spans="1:20" hidden="1" x14ac:dyDescent="0.2">
      <c r="A335" s="799"/>
      <c r="B335" s="765"/>
      <c r="C335" s="765"/>
      <c r="D335" s="1184">
        <f>'13. Disaster Mitigation'!D37</f>
        <v>0</v>
      </c>
      <c r="E335" s="760" t="s">
        <v>800</v>
      </c>
      <c r="F335" s="1185"/>
      <c r="G335" s="785"/>
    </row>
    <row r="336" spans="1:20" hidden="1" x14ac:dyDescent="0.2">
      <c r="A336" s="799"/>
      <c r="B336" s="765"/>
      <c r="C336" s="765"/>
      <c r="D336" s="1184">
        <f>'13. Disaster Mitigation'!D38</f>
        <v>0</v>
      </c>
      <c r="E336" s="765" t="s">
        <v>360</v>
      </c>
      <c r="F336" s="1185"/>
      <c r="G336" s="785"/>
    </row>
    <row r="337" spans="1:7" hidden="1" x14ac:dyDescent="0.2">
      <c r="A337" s="799"/>
      <c r="B337" s="765"/>
      <c r="C337" s="765"/>
      <c r="D337" s="1184">
        <f>'13. Disaster Mitigation'!D39</f>
        <v>0</v>
      </c>
      <c r="E337" s="765" t="s">
        <v>361</v>
      </c>
      <c r="F337" s="1185"/>
      <c r="G337" s="785"/>
    </row>
    <row r="338" spans="1:7" hidden="1" x14ac:dyDescent="0.2">
      <c r="A338" s="824"/>
      <c r="B338" s="863" t="s">
        <v>365</v>
      </c>
      <c r="C338" s="864"/>
      <c r="D338" s="765"/>
      <c r="E338" s="765"/>
      <c r="F338" s="1185"/>
      <c r="G338" s="785"/>
    </row>
    <row r="339" spans="1:7" hidden="1" x14ac:dyDescent="0.2">
      <c r="A339" s="796" t="s">
        <v>1165</v>
      </c>
      <c r="B339" s="865"/>
      <c r="C339" s="804">
        <v>10</v>
      </c>
      <c r="D339" s="874" t="s">
        <v>1221</v>
      </c>
      <c r="E339" s="874"/>
      <c r="F339" s="1185"/>
      <c r="G339" s="785"/>
    </row>
    <row r="340" spans="1:7" hidden="1" x14ac:dyDescent="0.2">
      <c r="A340" s="799"/>
      <c r="B340" s="765"/>
      <c r="C340" s="765"/>
      <c r="D340" s="1184">
        <f>'13. Disaster Mitigation'!D42</f>
        <v>0</v>
      </c>
      <c r="E340" s="760" t="s">
        <v>362</v>
      </c>
      <c r="F340" s="1185"/>
      <c r="G340" s="785"/>
    </row>
    <row r="341" spans="1:7" hidden="1" x14ac:dyDescent="0.2">
      <c r="A341" s="799"/>
      <c r="B341" s="765"/>
      <c r="C341" s="765"/>
      <c r="D341" s="1184">
        <f>'13. Disaster Mitigation'!D43</f>
        <v>0</v>
      </c>
      <c r="E341" s="760" t="s">
        <v>461</v>
      </c>
      <c r="F341" s="1185"/>
      <c r="G341" s="785"/>
    </row>
    <row r="342" spans="1:7" hidden="1" x14ac:dyDescent="0.2">
      <c r="A342" s="824"/>
      <c r="B342" s="863" t="s">
        <v>365</v>
      </c>
      <c r="C342" s="864"/>
      <c r="D342" s="867"/>
      <c r="E342" s="867"/>
      <c r="F342" s="1185"/>
      <c r="G342" s="785"/>
    </row>
    <row r="343" spans="1:7" s="784" customFormat="1" hidden="1" x14ac:dyDescent="0.2">
      <c r="A343" s="796" t="s">
        <v>1166</v>
      </c>
      <c r="B343" s="865"/>
      <c r="C343" s="805">
        <v>12</v>
      </c>
      <c r="D343" s="874" t="s">
        <v>1226</v>
      </c>
      <c r="E343" s="874"/>
      <c r="F343" s="1185"/>
      <c r="G343" s="785"/>
    </row>
    <row r="344" spans="1:7" s="784" customFormat="1" hidden="1" x14ac:dyDescent="0.2">
      <c r="A344" s="799"/>
      <c r="B344" s="765"/>
      <c r="C344" s="765"/>
      <c r="D344" s="1184">
        <f>'13. Disaster Mitigation'!D46</f>
        <v>0</v>
      </c>
      <c r="E344" s="760" t="s">
        <v>503</v>
      </c>
      <c r="F344" s="1185"/>
      <c r="G344" s="785"/>
    </row>
    <row r="345" spans="1:7" s="784" customFormat="1" hidden="1" x14ac:dyDescent="0.2">
      <c r="A345" s="796" t="s">
        <v>1167</v>
      </c>
      <c r="B345" s="770">
        <f>'13. Disaster Mitigation'!B47</f>
        <v>0</v>
      </c>
      <c r="C345" s="869">
        <v>1</v>
      </c>
      <c r="D345" s="872" t="s">
        <v>927</v>
      </c>
      <c r="E345" s="872"/>
      <c r="F345" s="1185"/>
      <c r="G345" s="785"/>
    </row>
    <row r="346" spans="1:7" s="784" customFormat="1" hidden="1" x14ac:dyDescent="0.2">
      <c r="A346" s="1055"/>
      <c r="B346" s="765"/>
      <c r="C346" s="869"/>
      <c r="D346" s="872"/>
      <c r="E346" s="872"/>
      <c r="F346" s="1185"/>
      <c r="G346" s="785"/>
    </row>
    <row r="347" spans="1:7" s="784" customFormat="1" hidden="1" x14ac:dyDescent="0.2">
      <c r="A347" s="796" t="s">
        <v>1232</v>
      </c>
      <c r="B347" s="770">
        <f>DM6.01</f>
        <v>0</v>
      </c>
      <c r="C347" s="869">
        <v>2</v>
      </c>
      <c r="D347" s="760" t="str">
        <f>'13. Disaster Mitigation'!D50:E50</f>
        <v>Mold Prevention - ASTM D3273</v>
      </c>
      <c r="E347" s="872"/>
      <c r="F347" s="1185"/>
      <c r="G347" s="785"/>
    </row>
    <row r="348" spans="1:7" hidden="1" x14ac:dyDescent="0.2">
      <c r="A348" s="796" t="s">
        <v>1314</v>
      </c>
      <c r="B348" s="770">
        <f>'13. Disaster Mitigation'!B51</f>
        <v>0</v>
      </c>
      <c r="C348" s="869" t="s">
        <v>1316</v>
      </c>
      <c r="D348" s="760" t="s">
        <v>1315</v>
      </c>
      <c r="E348" s="872"/>
      <c r="F348" s="1204"/>
      <c r="G348" s="785"/>
    </row>
    <row r="349" spans="1:7" hidden="1" x14ac:dyDescent="0.2">
      <c r="A349" s="796" t="s">
        <v>1317</v>
      </c>
      <c r="B349" s="770">
        <f>'13. Disaster Mitigation'!B52</f>
        <v>0</v>
      </c>
      <c r="C349" s="869">
        <v>2</v>
      </c>
      <c r="D349" s="760" t="s">
        <v>1388</v>
      </c>
      <c r="E349" s="872"/>
      <c r="F349" s="1204"/>
      <c r="G349" s="785"/>
    </row>
    <row r="350" spans="1:7" hidden="1" x14ac:dyDescent="0.2">
      <c r="A350" s="796" t="s">
        <v>1321</v>
      </c>
      <c r="B350" s="770">
        <f>'13. Disaster Mitigation'!B54</f>
        <v>0</v>
      </c>
      <c r="C350" s="869">
        <v>1</v>
      </c>
      <c r="D350" s="760" t="s">
        <v>1389</v>
      </c>
      <c r="E350" s="872"/>
      <c r="F350" s="1204"/>
      <c r="G350" s="785"/>
    </row>
    <row r="351" spans="1:7" hidden="1" x14ac:dyDescent="0.2">
      <c r="A351" s="1060"/>
      <c r="B351" s="1061">
        <f>'13. Disaster Mitigation'!B56</f>
        <v>5</v>
      </c>
      <c r="C351" s="1062">
        <v>47</v>
      </c>
      <c r="D351" s="1063" t="s">
        <v>111</v>
      </c>
      <c r="E351" s="1064"/>
      <c r="F351" s="1065"/>
      <c r="G351" s="785"/>
    </row>
    <row r="352" spans="1:7" ht="21" hidden="1" customHeight="1" x14ac:dyDescent="0.2">
      <c r="A352" s="799"/>
      <c r="B352" s="765"/>
      <c r="C352" s="765"/>
      <c r="D352" s="765"/>
      <c r="E352" s="765"/>
      <c r="F352" s="760"/>
      <c r="G352" s="785"/>
    </row>
    <row r="353" spans="1:7" ht="19" x14ac:dyDescent="0.25">
      <c r="A353" s="799"/>
      <c r="B353" s="772">
        <f>'13. Disaster Mitigation'!B58</f>
        <v>5</v>
      </c>
      <c r="C353" s="812" t="s">
        <v>363</v>
      </c>
      <c r="D353" s="812"/>
      <c r="E353" s="812"/>
      <c r="F353" s="760"/>
      <c r="G353" s="785"/>
    </row>
    <row r="354" spans="1:7" ht="16" thickBot="1" x14ac:dyDescent="0.25">
      <c r="A354" s="1182" t="s">
        <v>364</v>
      </c>
      <c r="B354" s="789"/>
      <c r="C354" s="789"/>
      <c r="D354" s="1458">
        <f>'13. Disaster Mitigation'!E60</f>
        <v>0</v>
      </c>
      <c r="E354" s="1458"/>
      <c r="F354" s="1458"/>
      <c r="G354" s="1459"/>
    </row>
    <row r="355" spans="1:7" ht="19" x14ac:dyDescent="0.25">
      <c r="A355" s="780" t="s">
        <v>803</v>
      </c>
      <c r="B355" s="781"/>
      <c r="C355" s="781"/>
      <c r="D355" s="781"/>
      <c r="E355" s="781"/>
      <c r="F355" s="781"/>
      <c r="G355" s="1005" t="str">
        <f>'1. Instructions'!B2</f>
        <v>Version 12 Rev 1.0</v>
      </c>
    </row>
    <row r="356" spans="1:7" ht="16" x14ac:dyDescent="0.2">
      <c r="A356" s="794" t="s">
        <v>392</v>
      </c>
      <c r="B356" s="1178"/>
      <c r="C356" s="1178"/>
      <c r="D356" s="1178"/>
      <c r="E356" s="1178"/>
      <c r="F356" s="1178"/>
      <c r="G356" s="1007" t="str">
        <f>'1. Instructions'!B5</f>
        <v>Revised 4-5-2022</v>
      </c>
    </row>
    <row r="357" spans="1:7" ht="16" x14ac:dyDescent="0.2">
      <c r="A357" s="777" t="s">
        <v>366</v>
      </c>
      <c r="B357" s="775"/>
      <c r="C357" s="775"/>
      <c r="D357" s="775"/>
      <c r="E357" s="775"/>
      <c r="F357" s="795"/>
      <c r="G357" s="785"/>
    </row>
    <row r="358" spans="1:7" x14ac:dyDescent="0.2">
      <c r="A358" s="822" t="s">
        <v>1170</v>
      </c>
      <c r="B358" s="1184">
        <f>'14. General'!B5</f>
        <v>0</v>
      </c>
      <c r="C358" s="804" t="s">
        <v>967</v>
      </c>
      <c r="D358" s="1299" t="s">
        <v>368</v>
      </c>
      <c r="E358" s="1299"/>
      <c r="F358" s="1317"/>
      <c r="G358" s="1301"/>
    </row>
    <row r="359" spans="1:7" x14ac:dyDescent="0.2">
      <c r="A359" s="824"/>
      <c r="B359" s="764"/>
      <c r="C359" s="804"/>
      <c r="D359" s="829">
        <f>'14. General'!D6</f>
        <v>0</v>
      </c>
      <c r="E359" s="1299" t="s">
        <v>369</v>
      </c>
      <c r="F359" s="1317"/>
      <c r="G359" s="1301"/>
    </row>
    <row r="360" spans="1:7" ht="16" hidden="1" x14ac:dyDescent="0.2">
      <c r="A360" s="777" t="s">
        <v>370</v>
      </c>
      <c r="B360" s="775"/>
      <c r="C360" s="775"/>
      <c r="D360" s="775"/>
      <c r="E360" s="775"/>
      <c r="F360" s="795"/>
      <c r="G360" s="785"/>
    </row>
    <row r="361" spans="1:7" s="784" customFormat="1" hidden="1" x14ac:dyDescent="0.2">
      <c r="A361" s="822" t="s">
        <v>1171</v>
      </c>
      <c r="B361" s="1184">
        <f>'14. General'!B9</f>
        <v>0</v>
      </c>
      <c r="C361" s="804">
        <v>2</v>
      </c>
      <c r="D361" s="842" t="s">
        <v>371</v>
      </c>
      <c r="E361" s="842"/>
      <c r="F361" s="1185"/>
      <c r="G361" s="785"/>
    </row>
    <row r="362" spans="1:7" s="784" customFormat="1" hidden="1" x14ac:dyDescent="0.2">
      <c r="A362" s="822" t="s">
        <v>1172</v>
      </c>
      <c r="B362" s="1184">
        <f>'14. General'!B10</f>
        <v>0</v>
      </c>
      <c r="C362" s="860" t="s">
        <v>47</v>
      </c>
      <c r="D362" s="765" t="s">
        <v>822</v>
      </c>
      <c r="E362" s="765"/>
      <c r="F362" s="1185"/>
      <c r="G362" s="785"/>
    </row>
    <row r="363" spans="1:7" s="784" customFormat="1" hidden="1" x14ac:dyDescent="0.2">
      <c r="A363" s="822" t="s">
        <v>1173</v>
      </c>
      <c r="B363" s="1184">
        <f>'14. General'!B11</f>
        <v>0</v>
      </c>
      <c r="C363" s="804">
        <v>1</v>
      </c>
      <c r="D363" s="760" t="s">
        <v>506</v>
      </c>
      <c r="E363" s="760"/>
      <c r="F363" s="1185"/>
      <c r="G363" s="785"/>
    </row>
    <row r="364" spans="1:7" s="784" customFormat="1" hidden="1" x14ac:dyDescent="0.2">
      <c r="A364" s="822" t="s">
        <v>1323</v>
      </c>
      <c r="B364" s="1203">
        <f>'14. General'!B12</f>
        <v>0</v>
      </c>
      <c r="C364" s="804">
        <v>1</v>
      </c>
      <c r="D364" s="760" t="s">
        <v>1327</v>
      </c>
      <c r="E364" s="760"/>
      <c r="F364" s="1204"/>
      <c r="G364" s="785"/>
    </row>
    <row r="365" spans="1:7" hidden="1" x14ac:dyDescent="0.2">
      <c r="A365" s="822" t="s">
        <v>1324</v>
      </c>
      <c r="B365" s="1203">
        <f>'14. General'!B13</f>
        <v>0</v>
      </c>
      <c r="C365" s="804">
        <v>3</v>
      </c>
      <c r="D365" s="760" t="s">
        <v>1328</v>
      </c>
      <c r="E365" s="760"/>
      <c r="F365" s="1204"/>
      <c r="G365" s="785"/>
    </row>
    <row r="366" spans="1:7" hidden="1" x14ac:dyDescent="0.2">
      <c r="A366" s="822" t="s">
        <v>1325</v>
      </c>
      <c r="B366" s="1203">
        <f>'14. General'!B14</f>
        <v>0</v>
      </c>
      <c r="C366" s="804">
        <v>2</v>
      </c>
      <c r="D366" s="760" t="s">
        <v>1329</v>
      </c>
      <c r="E366" s="760"/>
      <c r="F366" s="1204"/>
      <c r="G366" s="785"/>
    </row>
    <row r="367" spans="1:7" hidden="1" x14ac:dyDescent="0.2">
      <c r="A367" s="822" t="s">
        <v>1326</v>
      </c>
      <c r="B367" s="1203">
        <f>'14. General'!B15</f>
        <v>0</v>
      </c>
      <c r="C367" s="804" t="s">
        <v>1316</v>
      </c>
      <c r="D367" s="760" t="s">
        <v>1330</v>
      </c>
      <c r="E367" s="760"/>
      <c r="F367" s="1204"/>
      <c r="G367" s="785"/>
    </row>
    <row r="368" spans="1:7" ht="16" hidden="1" x14ac:dyDescent="0.2">
      <c r="A368" s="777" t="s">
        <v>373</v>
      </c>
      <c r="B368" s="775"/>
      <c r="C368" s="775"/>
      <c r="D368" s="775"/>
      <c r="E368" s="775"/>
      <c r="F368" s="795"/>
      <c r="G368" s="785"/>
    </row>
    <row r="369" spans="1:7" hidden="1" x14ac:dyDescent="0.2">
      <c r="A369" s="822" t="s">
        <v>1174</v>
      </c>
      <c r="B369" s="1184">
        <f>'14. General'!B18</f>
        <v>0</v>
      </c>
      <c r="C369" s="860" t="s">
        <v>474</v>
      </c>
      <c r="D369" s="798" t="s">
        <v>374</v>
      </c>
      <c r="E369" s="798"/>
      <c r="F369" s="1185"/>
      <c r="G369" s="785"/>
    </row>
    <row r="370" spans="1:7" hidden="1" x14ac:dyDescent="0.2">
      <c r="A370" s="799"/>
      <c r="B370" s="765"/>
      <c r="C370" s="765"/>
      <c r="D370" s="1184">
        <f>'14. General'!D19</f>
        <v>0</v>
      </c>
      <c r="E370" s="1185" t="s">
        <v>504</v>
      </c>
      <c r="F370" s="1185"/>
      <c r="G370" s="785"/>
    </row>
    <row r="371" spans="1:7" ht="16" hidden="1" x14ac:dyDescent="0.2">
      <c r="A371" s="777" t="s">
        <v>375</v>
      </c>
      <c r="B371" s="775"/>
      <c r="C371" s="775"/>
      <c r="D371" s="775"/>
      <c r="E371" s="775"/>
      <c r="F371" s="795"/>
      <c r="G371" s="785"/>
    </row>
    <row r="372" spans="1:7" hidden="1" x14ac:dyDescent="0.2">
      <c r="A372" s="822" t="s">
        <v>1175</v>
      </c>
      <c r="B372" s="773">
        <f>'14. General'!B22</f>
        <v>0</v>
      </c>
      <c r="C372" s="802">
        <v>10</v>
      </c>
      <c r="D372" s="849" t="s">
        <v>972</v>
      </c>
      <c r="E372" s="849"/>
      <c r="F372" s="1185"/>
      <c r="G372" s="785"/>
    </row>
    <row r="373" spans="1:7" hidden="1" x14ac:dyDescent="0.2">
      <c r="A373" s="822" t="s">
        <v>1176</v>
      </c>
      <c r="B373" s="1184">
        <f>'14. General'!B23</f>
        <v>0</v>
      </c>
      <c r="C373" s="804">
        <v>3</v>
      </c>
      <c r="D373" s="842" t="s">
        <v>1250</v>
      </c>
      <c r="E373" s="842"/>
      <c r="F373" s="1185"/>
      <c r="G373" s="785"/>
    </row>
    <row r="374" spans="1:7" hidden="1" x14ac:dyDescent="0.2">
      <c r="A374" s="822" t="s">
        <v>1177</v>
      </c>
      <c r="B374" s="1184">
        <f>'14. General'!B24</f>
        <v>0</v>
      </c>
      <c r="C374" s="804">
        <v>2</v>
      </c>
      <c r="D374" s="765" t="s">
        <v>377</v>
      </c>
      <c r="E374" s="765"/>
      <c r="F374" s="1185"/>
      <c r="G374" s="785"/>
    </row>
    <row r="375" spans="1:7" hidden="1" x14ac:dyDescent="0.2">
      <c r="A375" s="822" t="s">
        <v>1178</v>
      </c>
      <c r="B375" s="1184">
        <f>'14. General'!B25</f>
        <v>0</v>
      </c>
      <c r="C375" s="805">
        <v>2</v>
      </c>
      <c r="D375" s="760" t="s">
        <v>531</v>
      </c>
      <c r="E375" s="760"/>
      <c r="F375" s="1185"/>
      <c r="G375" s="785"/>
    </row>
    <row r="376" spans="1:7" hidden="1" x14ac:dyDescent="0.2">
      <c r="A376" s="822" t="s">
        <v>1179</v>
      </c>
      <c r="B376" s="1184">
        <f>'14. General'!B26</f>
        <v>0</v>
      </c>
      <c r="C376" s="805">
        <v>2</v>
      </c>
      <c r="D376" s="1465" t="s">
        <v>892</v>
      </c>
      <c r="E376" s="1465"/>
      <c r="F376" s="1185"/>
      <c r="G376" s="785"/>
    </row>
    <row r="377" spans="1:7" ht="16" hidden="1" x14ac:dyDescent="0.2">
      <c r="A377" s="777" t="s">
        <v>378</v>
      </c>
      <c r="B377" s="775"/>
      <c r="C377" s="775"/>
      <c r="D377" s="775"/>
      <c r="E377" s="775"/>
      <c r="F377" s="795"/>
      <c r="G377" s="785"/>
    </row>
    <row r="378" spans="1:7" x14ac:dyDescent="0.2">
      <c r="A378" s="822" t="s">
        <v>1185</v>
      </c>
      <c r="B378" s="1184">
        <f>'14. General'!B29</f>
        <v>1</v>
      </c>
      <c r="C378" s="797" t="s">
        <v>47</v>
      </c>
      <c r="D378" s="1294" t="s">
        <v>379</v>
      </c>
      <c r="E378" s="1294"/>
      <c r="F378" s="1292"/>
      <c r="G378" s="1288"/>
    </row>
    <row r="379" spans="1:7" x14ac:dyDescent="0.2">
      <c r="A379" s="799"/>
      <c r="B379" s="765"/>
      <c r="C379" s="765"/>
      <c r="D379" s="1184">
        <f>'14. General'!D30</f>
        <v>1</v>
      </c>
      <c r="E379" s="1294" t="s">
        <v>380</v>
      </c>
      <c r="F379" s="1292"/>
      <c r="G379" s="1288"/>
    </row>
    <row r="380" spans="1:7" s="784" customFormat="1" x14ac:dyDescent="0.2">
      <c r="A380" s="822" t="s">
        <v>1180</v>
      </c>
      <c r="B380" s="1184">
        <f>'14. General'!B31</f>
        <v>2</v>
      </c>
      <c r="C380" s="844" t="s">
        <v>505</v>
      </c>
      <c r="D380" s="1304" t="s">
        <v>756</v>
      </c>
      <c r="E380" s="1294"/>
      <c r="F380" s="1294"/>
      <c r="G380" s="1288"/>
    </row>
    <row r="381" spans="1:7" s="784" customFormat="1" x14ac:dyDescent="0.2">
      <c r="A381" s="822" t="s">
        <v>1181</v>
      </c>
      <c r="B381" s="1184">
        <f>'14. General'!B32</f>
        <v>2</v>
      </c>
      <c r="C381" s="844">
        <v>2</v>
      </c>
      <c r="D381" s="1304" t="s">
        <v>1236</v>
      </c>
      <c r="E381" s="1294"/>
      <c r="F381" s="1294"/>
      <c r="G381" s="1288"/>
    </row>
    <row r="382" spans="1:7" hidden="1" x14ac:dyDescent="0.2">
      <c r="A382" s="822" t="s">
        <v>1182</v>
      </c>
      <c r="B382" s="1184">
        <f>'14. General'!B33</f>
        <v>0</v>
      </c>
      <c r="C382" s="844">
        <v>1</v>
      </c>
      <c r="D382" s="760" t="s">
        <v>384</v>
      </c>
      <c r="E382" s="765"/>
      <c r="F382" s="765"/>
      <c r="G382" s="785"/>
    </row>
    <row r="383" spans="1:7" hidden="1" x14ac:dyDescent="0.2">
      <c r="A383" s="822" t="s">
        <v>1183</v>
      </c>
      <c r="B383" s="1184">
        <f>'14. General'!B34</f>
        <v>0</v>
      </c>
      <c r="C383" s="804">
        <v>2</v>
      </c>
      <c r="D383" s="831" t="s">
        <v>385</v>
      </c>
      <c r="E383" s="765"/>
      <c r="F383" s="765"/>
      <c r="G383" s="785"/>
    </row>
    <row r="384" spans="1:7" x14ac:dyDescent="0.2">
      <c r="A384" s="822" t="s">
        <v>1184</v>
      </c>
      <c r="B384" s="1184">
        <f>'14. General'!B35</f>
        <v>0</v>
      </c>
      <c r="C384" s="804">
        <v>2</v>
      </c>
      <c r="D384" s="831" t="s">
        <v>1239</v>
      </c>
      <c r="E384" s="765"/>
      <c r="F384" s="765"/>
      <c r="G384" s="785"/>
    </row>
    <row r="385" spans="1:7" x14ac:dyDescent="0.2">
      <c r="A385" s="822" t="s">
        <v>1237</v>
      </c>
      <c r="B385" s="1184">
        <f>'14. General'!B36</f>
        <v>0</v>
      </c>
      <c r="C385" s="804">
        <v>5</v>
      </c>
      <c r="D385" s="1313" t="s">
        <v>1240</v>
      </c>
      <c r="E385" s="1299"/>
      <c r="F385" s="1317"/>
      <c r="G385" s="1301"/>
    </row>
    <row r="386" spans="1:7" x14ac:dyDescent="0.2">
      <c r="A386" s="822" t="s">
        <v>1238</v>
      </c>
      <c r="B386" s="1184">
        <f>'14. General'!B37</f>
        <v>0</v>
      </c>
      <c r="C386" s="823" t="s">
        <v>104</v>
      </c>
      <c r="D386" s="831" t="s">
        <v>387</v>
      </c>
      <c r="E386" s="831"/>
      <c r="F386" s="1185"/>
      <c r="G386" s="785"/>
    </row>
    <row r="387" spans="1:7" x14ac:dyDescent="0.2">
      <c r="A387" s="786"/>
      <c r="B387" s="765"/>
      <c r="C387" s="765"/>
      <c r="D387" s="765" t="s">
        <v>388</v>
      </c>
      <c r="E387" s="765"/>
      <c r="F387" s="1185"/>
      <c r="G387" s="785"/>
    </row>
    <row r="388" spans="1:7" x14ac:dyDescent="0.2">
      <c r="A388" s="799"/>
      <c r="B388" s="765"/>
      <c r="C388" s="765"/>
      <c r="D388" s="1463">
        <f>'14. General'!D39</f>
        <v>0</v>
      </c>
      <c r="E388" s="1463"/>
      <c r="F388" s="1463"/>
      <c r="G388" s="1464"/>
    </row>
    <row r="389" spans="1:7" x14ac:dyDescent="0.2">
      <c r="A389" s="1060"/>
      <c r="B389" s="1061">
        <f>'14. General'!B40</f>
        <v>5</v>
      </c>
      <c r="C389" s="1062">
        <v>56</v>
      </c>
      <c r="D389" s="1063" t="s">
        <v>111</v>
      </c>
      <c r="E389" s="1063"/>
      <c r="F389" s="1065"/>
      <c r="G389" s="785"/>
    </row>
    <row r="390" spans="1:7" x14ac:dyDescent="0.2">
      <c r="A390" s="799"/>
      <c r="B390" s="765"/>
      <c r="C390" s="765"/>
      <c r="D390" s="765"/>
      <c r="E390" s="765"/>
      <c r="F390" s="760"/>
      <c r="G390" s="785"/>
    </row>
    <row r="391" spans="1:7" ht="22.5" customHeight="1" x14ac:dyDescent="0.25">
      <c r="A391" s="799"/>
      <c r="B391" s="772">
        <f>'14. General'!B42</f>
        <v>5</v>
      </c>
      <c r="C391" s="812" t="s">
        <v>389</v>
      </c>
      <c r="D391" s="812"/>
      <c r="E391" s="812"/>
      <c r="F391" s="760"/>
      <c r="G391" s="785"/>
    </row>
    <row r="392" spans="1:7" ht="16" thickBot="1" x14ac:dyDescent="0.25">
      <c r="A392" s="1182" t="s">
        <v>390</v>
      </c>
      <c r="B392" s="789"/>
      <c r="C392" s="789"/>
      <c r="D392" s="1458">
        <f>'14. General'!E44</f>
        <v>0</v>
      </c>
      <c r="E392" s="1458"/>
      <c r="F392" s="1458"/>
      <c r="G392" s="1459"/>
    </row>
    <row r="393" spans="1:7" ht="16" thickBot="1" x14ac:dyDescent="0.25">
      <c r="A393" s="1460"/>
      <c r="B393" s="1461"/>
      <c r="C393" s="1461"/>
      <c r="D393" s="1461"/>
      <c r="E393" s="1461"/>
      <c r="F393" s="1461"/>
      <c r="G393" s="1462"/>
    </row>
    <row r="394" spans="1:7" ht="19" x14ac:dyDescent="0.25">
      <c r="A394" s="1190"/>
      <c r="B394" s="1191"/>
      <c r="C394" s="1191"/>
      <c r="D394" s="1191"/>
      <c r="E394" s="1191" t="s">
        <v>127</v>
      </c>
      <c r="F394" s="1191"/>
      <c r="G394" s="1009" t="str">
        <f>'1. Instructions'!B2</f>
        <v>Version 12 Rev 1.0</v>
      </c>
    </row>
    <row r="395" spans="1:7" x14ac:dyDescent="0.2">
      <c r="A395" s="425" t="s">
        <v>128</v>
      </c>
      <c r="B395" s="1187"/>
      <c r="C395" s="1187"/>
      <c r="D395" s="1187"/>
      <c r="E395" s="427" t="s">
        <v>129</v>
      </c>
      <c r="F395" s="428"/>
      <c r="G395" s="429" t="s">
        <v>130</v>
      </c>
    </row>
    <row r="396" spans="1:7" ht="16" customHeight="1" x14ac:dyDescent="0.2">
      <c r="A396" s="430" t="s">
        <v>131</v>
      </c>
      <c r="B396" s="153"/>
      <c r="C396" s="1187"/>
      <c r="D396" s="1187"/>
      <c r="E396" s="1179">
        <f>B69</f>
        <v>43</v>
      </c>
      <c r="F396" s="1187"/>
      <c r="G396" s="431" t="s">
        <v>132</v>
      </c>
    </row>
    <row r="397" spans="1:7" ht="16" customHeight="1" x14ac:dyDescent="0.2">
      <c r="A397" s="430" t="s">
        <v>133</v>
      </c>
      <c r="B397" s="153"/>
      <c r="C397" s="1187"/>
      <c r="D397" s="1187"/>
      <c r="E397" s="1179">
        <f>B118</f>
        <v>12</v>
      </c>
      <c r="F397" s="1187"/>
      <c r="G397" s="431" t="s">
        <v>134</v>
      </c>
    </row>
    <row r="398" spans="1:7" ht="16" customHeight="1" x14ac:dyDescent="0.2">
      <c r="A398" s="430" t="s">
        <v>135</v>
      </c>
      <c r="B398" s="153"/>
      <c r="C398" s="153"/>
      <c r="D398" s="1187"/>
      <c r="E398" s="1179">
        <f>B157</f>
        <v>0</v>
      </c>
      <c r="F398" s="1187"/>
      <c r="G398" s="432" t="s">
        <v>839</v>
      </c>
    </row>
    <row r="399" spans="1:7" ht="16" customHeight="1" x14ac:dyDescent="0.2">
      <c r="A399" s="430" t="s">
        <v>137</v>
      </c>
      <c r="B399" s="153"/>
      <c r="C399" s="1187"/>
      <c r="D399" s="1187"/>
      <c r="E399" s="1179">
        <f>B192</f>
        <v>4</v>
      </c>
      <c r="F399" s="1187"/>
      <c r="G399" s="433" t="s">
        <v>837</v>
      </c>
    </row>
    <row r="400" spans="1:7" ht="16" customHeight="1" x14ac:dyDescent="0.2">
      <c r="A400" s="430" t="s">
        <v>139</v>
      </c>
      <c r="B400" s="153"/>
      <c r="C400" s="1187"/>
      <c r="D400" s="1187"/>
      <c r="E400" s="1179">
        <f>B247</f>
        <v>22</v>
      </c>
      <c r="F400" s="1187"/>
      <c r="G400" s="431" t="s">
        <v>140</v>
      </c>
    </row>
    <row r="401" spans="1:9" ht="16" customHeight="1" x14ac:dyDescent="0.2">
      <c r="A401" s="430" t="s">
        <v>141</v>
      </c>
      <c r="B401" s="153"/>
      <c r="C401" s="1187"/>
      <c r="D401" s="1187"/>
      <c r="E401" s="1179">
        <f>B302</f>
        <v>8</v>
      </c>
      <c r="F401" s="1187"/>
      <c r="G401" s="434" t="s">
        <v>142</v>
      </c>
    </row>
    <row r="402" spans="1:9" ht="16" customHeight="1" x14ac:dyDescent="0.2">
      <c r="A402" s="430" t="s">
        <v>143</v>
      </c>
      <c r="B402" s="153"/>
      <c r="C402" s="153"/>
      <c r="D402" s="1187"/>
      <c r="E402" s="1179">
        <f>B353</f>
        <v>5</v>
      </c>
      <c r="F402" s="1187"/>
      <c r="G402" s="433" t="s">
        <v>837</v>
      </c>
    </row>
    <row r="403" spans="1:9" ht="16" customHeight="1" x14ac:dyDescent="0.2">
      <c r="A403" s="430" t="s">
        <v>144</v>
      </c>
      <c r="B403" s="153"/>
      <c r="C403" s="1187"/>
      <c r="D403" s="1187"/>
      <c r="E403" s="1179">
        <f>B391</f>
        <v>5</v>
      </c>
      <c r="F403" s="1187"/>
      <c r="G403" s="432" t="s">
        <v>838</v>
      </c>
    </row>
    <row r="404" spans="1:9" ht="16" customHeight="1" x14ac:dyDescent="0.2">
      <c r="A404" s="1186"/>
      <c r="B404" s="869"/>
      <c r="C404" s="1187"/>
      <c r="D404" s="382" t="s">
        <v>146</v>
      </c>
      <c r="E404" s="951">
        <f>SUM(E396:E403)</f>
        <v>99</v>
      </c>
      <c r="F404" s="1187"/>
      <c r="G404" s="715"/>
    </row>
    <row r="405" spans="1:9" ht="31" thickBot="1" x14ac:dyDescent="0.25">
      <c r="A405" s="1186"/>
      <c r="B405" s="869"/>
      <c r="C405" s="1187"/>
      <c r="D405" s="1177" t="s">
        <v>147</v>
      </c>
      <c r="E405" s="952">
        <f>'Progress JL'!G19</f>
        <v>106</v>
      </c>
      <c r="F405" s="1187"/>
      <c r="G405" s="716" t="s">
        <v>897</v>
      </c>
    </row>
    <row r="406" spans="1:9" ht="22" thickBot="1" x14ac:dyDescent="0.25">
      <c r="A406" s="1186"/>
      <c r="B406" s="1187"/>
      <c r="C406" s="784"/>
      <c r="D406" s="955" t="s">
        <v>993</v>
      </c>
      <c r="E406" s="954">
        <f>'3. Application'!D73</f>
        <v>93</v>
      </c>
      <c r="F406" s="1180"/>
      <c r="G406" s="785"/>
    </row>
    <row r="407" spans="1:9" ht="16" thickBot="1" x14ac:dyDescent="0.25">
      <c r="A407" s="1454" t="s">
        <v>441</v>
      </c>
      <c r="B407" s="1455"/>
      <c r="C407" s="1455"/>
      <c r="D407" s="1455"/>
      <c r="E407" s="953" t="str">
        <f>IF(I408&lt;0,"Failed","")</f>
        <v>Failed</v>
      </c>
      <c r="F407" s="784"/>
      <c r="G407" s="793"/>
    </row>
    <row r="408" spans="1:9" ht="16" thickBot="1" x14ac:dyDescent="0.25">
      <c r="A408" s="1454"/>
      <c r="B408" s="1455"/>
      <c r="C408" s="1455"/>
      <c r="D408" s="1455"/>
      <c r="E408" s="440" t="str">
        <f>IF(AND(I408&gt;=0,I408&lt;=30),"Bronze","")</f>
        <v/>
      </c>
      <c r="F408" s="784"/>
      <c r="G408" s="610" t="s">
        <v>848</v>
      </c>
      <c r="I408" s="624">
        <f>E404-E405</f>
        <v>-7</v>
      </c>
    </row>
    <row r="409" spans="1:9" x14ac:dyDescent="0.2">
      <c r="A409" s="1454"/>
      <c r="B409" s="1455"/>
      <c r="C409" s="1455"/>
      <c r="D409" s="1455"/>
      <c r="E409" s="441" t="str">
        <f>IF(AND(I408&gt;=31,I408&lt;=60),"Silver","")</f>
        <v/>
      </c>
      <c r="F409" s="608"/>
      <c r="G409" s="600">
        <f>'3. Application'!F34</f>
        <v>0</v>
      </c>
    </row>
    <row r="410" spans="1:9" x14ac:dyDescent="0.2">
      <c r="A410" s="1454"/>
      <c r="B410" s="1455"/>
      <c r="C410" s="1455"/>
      <c r="D410" s="1455"/>
      <c r="E410" s="441" t="str">
        <f>IF(AND(I408&gt;=61,I408&lt;=90),"Gold","")</f>
        <v/>
      </c>
      <c r="F410" s="608"/>
      <c r="G410" s="600">
        <f>'3. Application'!F35</f>
        <v>0</v>
      </c>
    </row>
    <row r="411" spans="1:9" ht="16" thickBot="1" x14ac:dyDescent="0.25">
      <c r="A411" s="1456"/>
      <c r="B411" s="1457"/>
      <c r="C411" s="1457"/>
      <c r="D411" s="1457"/>
      <c r="E411" s="442" t="str">
        <f>IF(I408&gt;=91,"Platinum","")</f>
        <v/>
      </c>
      <c r="F411" s="609"/>
      <c r="G411" s="956"/>
    </row>
  </sheetData>
  <sheetProtection algorithmName="SHA-512" hashValue="Ej5uPW542KxINX9IfUntzBL8gLr17twacDh6tAiB3Ki9D4T+ZHGZcafPVV5oigVUSmgWsYNZxUg9sLjX2WJvGA==" saltValue="Yrx4DZy1X3Sq2IcuZVr6Hg==" spinCount="100000" sheet="1" scenarios="1" selectLockedCells="1" selectUnlockedCells="1"/>
  <mergeCells count="34">
    <mergeCell ref="A1:G1"/>
    <mergeCell ref="A2:G2"/>
    <mergeCell ref="A3:G3"/>
    <mergeCell ref="A4:G4"/>
    <mergeCell ref="A27:E27"/>
    <mergeCell ref="D56:G56"/>
    <mergeCell ref="D86:G86"/>
    <mergeCell ref="D214:G214"/>
    <mergeCell ref="D392:G392"/>
    <mergeCell ref="D276:E276"/>
    <mergeCell ref="D193:G193"/>
    <mergeCell ref="D161:G162"/>
    <mergeCell ref="D119:G119"/>
    <mergeCell ref="D120:G120"/>
    <mergeCell ref="D121:G121"/>
    <mergeCell ref="D158:G158"/>
    <mergeCell ref="D66:E66"/>
    <mergeCell ref="D70:G70"/>
    <mergeCell ref="D71:G71"/>
    <mergeCell ref="D84:E84"/>
    <mergeCell ref="D81:E81"/>
    <mergeCell ref="D82:E82"/>
    <mergeCell ref="D108:G108"/>
    <mergeCell ref="D125:E125"/>
    <mergeCell ref="B161:C161"/>
    <mergeCell ref="A407:D411"/>
    <mergeCell ref="D248:G248"/>
    <mergeCell ref="A393:G393"/>
    <mergeCell ref="D388:G388"/>
    <mergeCell ref="D303:G303"/>
    <mergeCell ref="D376:E376"/>
    <mergeCell ref="D354:G354"/>
    <mergeCell ref="D269:G269"/>
    <mergeCell ref="D167:E167"/>
  </mergeCells>
  <phoneticPr fontId="80" type="noConversion"/>
  <conditionalFormatting sqref="E407">
    <cfRule type="containsText" dxfId="172" priority="10" stopIfTrue="1" operator="containsText" text="Failed">
      <formula>NOT(ISERROR(SEARCH("Failed",E407)))</formula>
    </cfRule>
  </conditionalFormatting>
  <conditionalFormatting sqref="E409">
    <cfRule type="containsText" dxfId="171" priority="9" stopIfTrue="1" operator="containsText" text="Silver">
      <formula>NOT(ISERROR(SEARCH("Silver",E409)))</formula>
    </cfRule>
  </conditionalFormatting>
  <conditionalFormatting sqref="E408">
    <cfRule type="containsText" dxfId="170" priority="8" stopIfTrue="1" operator="containsText" text="Bronze">
      <formula>NOT(ISERROR(SEARCH("Bronze",E408)))</formula>
    </cfRule>
  </conditionalFormatting>
  <conditionalFormatting sqref="E410">
    <cfRule type="containsText" dxfId="169" priority="7" stopIfTrue="1" operator="containsText" text="Gold">
      <formula>NOT(ISERROR(SEARCH("Gold",E410)))</formula>
    </cfRule>
  </conditionalFormatting>
  <conditionalFormatting sqref="E411">
    <cfRule type="containsText" dxfId="168" priority="6" stopIfTrue="1" operator="containsText" text="Platinum">
      <formula>NOT(ISERROR(SEARCH("Platinum",E411)))</formula>
    </cfRule>
  </conditionalFormatting>
  <dataValidations disablePrompts="1" count="1">
    <dataValidation type="list" allowBlank="1" showInputMessage="1" showErrorMessage="1" sqref="B66" xr:uid="{00000000-0002-0000-0500-000000000000}">
      <formula1>$G$69:$G$72</formula1>
    </dataValidation>
  </dataValidations>
  <printOptions horizontalCentered="1"/>
  <pageMargins left="0.45" right="0.45" top="0.5" bottom="1.25" header="0.05" footer="0.05"/>
  <pageSetup scale="72" fitToHeight="8" orientation="portrait" r:id="rId1"/>
  <headerFooter>
    <oddHeader xml:space="preserve">&amp;R&amp;"Calibri,Regular"&amp;16&amp;K006600Florida Green Home Standard Checklist </oddHeader>
    <oddFooter>&amp;L&amp;"Calibri,Regular"&amp;K000000&amp;A&amp;C&amp;"Calibri,Regular"&amp;K000000&amp;G&amp;R&amp;"Calibri,Regular"&amp;K000000&amp;P of &amp;N</oddFooter>
  </headerFooter>
  <rowBreaks count="9" manualBreakCount="9">
    <brk id="17" max="16383" man="1"/>
    <brk id="68" max="16383" man="1"/>
    <brk id="118" max="16383" man="1"/>
    <brk id="155" max="16383" man="1"/>
    <brk id="190" max="16383" man="1"/>
    <brk id="245" max="16383" man="1"/>
    <brk id="300" max="16383" man="1"/>
    <brk id="351" max="16383" man="1"/>
    <brk id="390" max="16383" man="1"/>
  </rowBreaks>
  <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33"/>
  <sheetViews>
    <sheetView zoomScale="130" zoomScaleNormal="130" workbookViewId="0">
      <selection activeCell="E20" sqref="E20"/>
    </sheetView>
  </sheetViews>
  <sheetFormatPr baseColWidth="10" defaultColWidth="8.6640625" defaultRowHeight="15" x14ac:dyDescent="0.2"/>
  <cols>
    <col min="1" max="1" width="5.6640625" style="94" customWidth="1"/>
    <col min="2" max="2" width="7.33203125" style="94" customWidth="1"/>
    <col min="3" max="3" width="7.5" style="94" customWidth="1"/>
    <col min="4" max="4" width="56.1640625" style="94" customWidth="1"/>
    <col min="5" max="5" width="58.6640625" style="94" customWidth="1"/>
    <col min="6" max="6" width="4.6640625" style="94" customWidth="1"/>
    <col min="7" max="7" width="71.1640625" style="94" customWidth="1"/>
    <col min="8" max="10" width="8.6640625" style="94"/>
    <col min="11" max="11" width="13.5" style="94" customWidth="1"/>
    <col min="12" max="12" width="8.6640625" style="94"/>
    <col min="13" max="13" width="9.1640625" style="94" customWidth="1"/>
    <col min="14" max="14" width="8.6640625" style="94"/>
    <col min="15" max="15" width="2.1640625" style="462" customWidth="1"/>
    <col min="16" max="20" width="5.5" style="94" customWidth="1"/>
    <col min="21" max="21" width="9.1640625" style="94" customWidth="1"/>
    <col min="22" max="22" width="8.6640625" style="323"/>
    <col min="23" max="16384" width="8.6640625" style="94"/>
  </cols>
  <sheetData>
    <row r="1" spans="1:24" s="426" customFormat="1" ht="19" x14ac:dyDescent="0.25">
      <c r="A1" s="1497" t="s">
        <v>774</v>
      </c>
      <c r="B1" s="1498"/>
      <c r="C1" s="1498"/>
      <c r="D1" s="1498"/>
      <c r="E1" s="1499"/>
      <c r="F1" s="443"/>
      <c r="G1" s="443"/>
      <c r="H1" s="443"/>
      <c r="I1" s="443"/>
      <c r="J1" s="443"/>
      <c r="K1" s="443"/>
      <c r="O1" s="444"/>
      <c r="P1" s="445"/>
      <c r="Q1" s="445"/>
      <c r="R1" s="445"/>
      <c r="S1" s="445"/>
      <c r="T1" s="445"/>
      <c r="U1" s="445"/>
      <c r="V1" s="446"/>
      <c r="W1" s="445"/>
      <c r="X1" s="445"/>
    </row>
    <row r="2" spans="1:24" s="426" customFormat="1" ht="16" x14ac:dyDescent="0.2">
      <c r="A2" s="687" t="s">
        <v>775</v>
      </c>
      <c r="B2" s="449"/>
      <c r="C2" s="449"/>
      <c r="D2" s="449"/>
      <c r="E2" s="688" t="str">
        <f>'1. Instructions'!B5</f>
        <v>Revised 4-5-2022</v>
      </c>
      <c r="F2" s="443"/>
      <c r="G2" s="443"/>
      <c r="H2" s="443"/>
      <c r="I2" s="443"/>
      <c r="J2" s="443"/>
      <c r="K2" s="443"/>
      <c r="O2" s="444"/>
      <c r="P2" s="445"/>
      <c r="Q2" s="445"/>
      <c r="R2" s="445"/>
      <c r="S2" s="445"/>
      <c r="T2" s="445"/>
      <c r="U2" s="445"/>
      <c r="V2" s="446"/>
      <c r="W2" s="445"/>
      <c r="X2" s="445"/>
    </row>
    <row r="3" spans="1:24" ht="16" x14ac:dyDescent="0.2">
      <c r="A3" s="1500" t="s">
        <v>761</v>
      </c>
      <c r="B3" s="1501"/>
      <c r="C3" s="1501"/>
      <c r="D3" s="1501"/>
      <c r="E3" s="1502"/>
      <c r="F3" s="447"/>
      <c r="G3" s="447"/>
      <c r="H3" s="443"/>
      <c r="I3" s="443"/>
      <c r="J3" s="443"/>
      <c r="K3" s="443"/>
      <c r="O3" s="444"/>
      <c r="P3" s="445"/>
      <c r="Q3" s="445"/>
      <c r="R3" s="445"/>
      <c r="S3" s="445"/>
      <c r="T3" s="445"/>
      <c r="U3" s="445"/>
      <c r="V3" s="446"/>
      <c r="W3" s="445"/>
      <c r="X3" s="445"/>
    </row>
    <row r="4" spans="1:24" ht="15" customHeight="1" thickBot="1" x14ac:dyDescent="0.25">
      <c r="A4" s="1496"/>
      <c r="B4" s="1365"/>
      <c r="C4" s="1365"/>
      <c r="D4" s="1365"/>
      <c r="E4" s="448"/>
      <c r="F4" s="449"/>
      <c r="G4" s="450" t="s">
        <v>25</v>
      </c>
      <c r="H4" s="449"/>
      <c r="I4" s="449"/>
      <c r="J4" s="449"/>
      <c r="K4" s="451"/>
      <c r="O4" s="452"/>
      <c r="P4" s="129"/>
      <c r="Q4" s="129"/>
      <c r="R4" s="129"/>
      <c r="S4" s="129"/>
      <c r="T4" s="129"/>
      <c r="U4" s="129"/>
      <c r="V4" s="322"/>
      <c r="W4" s="129"/>
      <c r="X4" s="129"/>
    </row>
    <row r="5" spans="1:24" ht="16" x14ac:dyDescent="0.2">
      <c r="A5" s="1504" t="s">
        <v>5</v>
      </c>
      <c r="B5" s="1505"/>
      <c r="C5" s="1505"/>
      <c r="D5" s="1505"/>
      <c r="E5" s="453" t="s">
        <v>762</v>
      </c>
      <c r="F5" s="454"/>
      <c r="G5" s="590" t="s">
        <v>5</v>
      </c>
      <c r="H5" s="333" t="s">
        <v>23</v>
      </c>
      <c r="I5" s="455"/>
      <c r="J5" s="455"/>
      <c r="K5" s="456"/>
      <c r="O5" s="452"/>
      <c r="V5" s="322"/>
      <c r="W5" s="129"/>
      <c r="X5" s="129"/>
    </row>
    <row r="6" spans="1:24" ht="16" x14ac:dyDescent="0.2">
      <c r="A6" s="457" t="s">
        <v>1017</v>
      </c>
      <c r="B6" s="319" t="s">
        <v>7</v>
      </c>
      <c r="C6" s="1490" t="s">
        <v>1026</v>
      </c>
      <c r="D6" s="1490"/>
      <c r="E6" s="578"/>
      <c r="F6" s="454"/>
      <c r="G6" s="345" t="str">
        <f>IF(B6="yes","Cut sheet or photo of sanitation system","none")</f>
        <v>none</v>
      </c>
      <c r="H6" s="333">
        <f>IF(B6="Yes","[  ]",0)</f>
        <v>0</v>
      </c>
      <c r="I6" s="458"/>
      <c r="J6" s="458"/>
      <c r="K6" s="459"/>
      <c r="M6" s="460"/>
      <c r="N6" s="460"/>
      <c r="O6" s="452"/>
      <c r="Q6" s="306"/>
      <c r="R6" s="306"/>
      <c r="S6" s="306"/>
      <c r="T6" s="306"/>
      <c r="U6" s="306"/>
      <c r="V6" s="322"/>
      <c r="W6" s="129"/>
      <c r="X6" s="129"/>
    </row>
    <row r="7" spans="1:24" ht="16" x14ac:dyDescent="0.2">
      <c r="A7" s="457" t="s">
        <v>1027</v>
      </c>
      <c r="B7" s="319" t="s">
        <v>7</v>
      </c>
      <c r="C7" s="1490" t="s">
        <v>10</v>
      </c>
      <c r="D7" s="1490"/>
      <c r="E7" s="579"/>
      <c r="F7" s="461"/>
      <c r="G7" s="345" t="str">
        <f>IF(B7="Yes", "Cut sheet or photo of cover","none")</f>
        <v>none</v>
      </c>
      <c r="H7" s="333">
        <f>IF(B7="Yes","[  ]",0)</f>
        <v>0</v>
      </c>
      <c r="I7" s="458"/>
      <c r="J7" s="458"/>
      <c r="K7" s="459"/>
    </row>
    <row r="8" spans="1:24" ht="16" x14ac:dyDescent="0.2">
      <c r="A8" s="457" t="s">
        <v>1028</v>
      </c>
      <c r="B8" s="319" t="s">
        <v>7</v>
      </c>
      <c r="C8" s="1490" t="s">
        <v>12</v>
      </c>
      <c r="D8" s="1490"/>
      <c r="E8" s="580"/>
      <c r="F8" s="443"/>
      <c r="G8" s="345" t="str">
        <f>IF(B8="Yes","Cut sheet or photo of heating system","none")</f>
        <v>none</v>
      </c>
      <c r="H8" s="333">
        <f>IF(B8="Yes","[  ]",0)</f>
        <v>0</v>
      </c>
      <c r="I8" s="458"/>
      <c r="J8" s="458"/>
      <c r="K8" s="459"/>
      <c r="M8" s="463"/>
      <c r="N8" s="463"/>
      <c r="O8" s="464"/>
    </row>
    <row r="9" spans="1:24" ht="15.75" customHeight="1" x14ac:dyDescent="0.2">
      <c r="A9" s="457" t="s">
        <v>1029</v>
      </c>
      <c r="B9" s="319" t="s">
        <v>7</v>
      </c>
      <c r="C9" s="1490" t="s">
        <v>499</v>
      </c>
      <c r="D9" s="1490"/>
      <c r="E9" s="580"/>
      <c r="F9" s="449"/>
      <c r="G9" s="345" t="str">
        <f>IF(B9="Yes","Indicate pump hp and pool volume","none")</f>
        <v>none</v>
      </c>
      <c r="H9" s="333">
        <f>IF(B9="Yes","[  ]",0)</f>
        <v>0</v>
      </c>
      <c r="I9" s="458"/>
      <c r="J9" s="458"/>
      <c r="K9" s="459"/>
      <c r="M9" s="306"/>
      <c r="N9" s="306"/>
      <c r="O9" s="464"/>
      <c r="V9" s="336">
        <f>IF(H6="[  ]","[  ]",1)</f>
        <v>1</v>
      </c>
    </row>
    <row r="10" spans="1:24" ht="15.75" customHeight="1" thickBot="1" x14ac:dyDescent="0.25">
      <c r="A10" s="465" t="s">
        <v>1030</v>
      </c>
      <c r="B10" s="277" t="s">
        <v>7</v>
      </c>
      <c r="C10" s="1491" t="s">
        <v>824</v>
      </c>
      <c r="D10" s="1491"/>
      <c r="E10" s="581"/>
      <c r="F10" s="449"/>
      <c r="G10" s="150"/>
      <c r="H10" s="317"/>
      <c r="I10" s="150"/>
      <c r="J10" s="150"/>
      <c r="K10" s="150"/>
      <c r="M10" s="306"/>
      <c r="N10" s="306"/>
      <c r="O10" s="464"/>
      <c r="V10" s="336"/>
    </row>
    <row r="11" spans="1:24" ht="10.5" customHeight="1" thickBot="1" x14ac:dyDescent="0.25">
      <c r="A11" s="1496"/>
      <c r="B11" s="1365"/>
      <c r="C11" s="1365"/>
      <c r="D11" s="1365"/>
      <c r="E11" s="448"/>
      <c r="F11" s="466"/>
      <c r="G11" s="199"/>
      <c r="H11" s="314"/>
      <c r="I11" s="199"/>
      <c r="J11" s="199"/>
      <c r="K11" s="199"/>
      <c r="M11" s="306"/>
      <c r="N11" s="306"/>
      <c r="O11" s="464"/>
      <c r="V11" s="336">
        <f>IF(H8="[  ]","[  ]",1)</f>
        <v>1</v>
      </c>
    </row>
    <row r="12" spans="1:24" ht="16" x14ac:dyDescent="0.2">
      <c r="A12" s="1493" t="s">
        <v>6</v>
      </c>
      <c r="B12" s="1494"/>
      <c r="C12" s="1494"/>
      <c r="D12" s="1495"/>
      <c r="E12" s="453" t="s">
        <v>762</v>
      </c>
      <c r="F12" s="466"/>
      <c r="G12" s="590" t="s">
        <v>24</v>
      </c>
      <c r="H12" s="333" t="s">
        <v>23</v>
      </c>
      <c r="I12" s="455"/>
      <c r="J12" s="455"/>
      <c r="K12" s="456"/>
      <c r="M12" s="306"/>
      <c r="N12" s="306"/>
      <c r="O12" s="464"/>
      <c r="V12" s="336">
        <f>IF(H9="[  ]","[  ]",1)</f>
        <v>1</v>
      </c>
    </row>
    <row r="13" spans="1:24" ht="16" x14ac:dyDescent="0.2">
      <c r="A13" s="457" t="s">
        <v>1031</v>
      </c>
      <c r="B13" s="319" t="s">
        <v>7</v>
      </c>
      <c r="C13" s="1490" t="s">
        <v>9</v>
      </c>
      <c r="D13" s="1490"/>
      <c r="E13" s="582"/>
      <c r="F13" s="313"/>
      <c r="G13" s="345" t="str">
        <f>IF(B13="Yes","Photo and plant list","none")</f>
        <v>none</v>
      </c>
      <c r="H13" s="333">
        <f>IF(B13="Yes","[  ]",0)</f>
        <v>0</v>
      </c>
      <c r="I13" s="458"/>
      <c r="J13" s="458"/>
      <c r="K13" s="459"/>
      <c r="M13" s="306"/>
      <c r="N13" s="306"/>
      <c r="O13" s="464"/>
      <c r="V13" s="336"/>
    </row>
    <row r="14" spans="1:24" ht="16" x14ac:dyDescent="0.2">
      <c r="A14" s="457" t="s">
        <v>1032</v>
      </c>
      <c r="B14" s="278" t="s">
        <v>7</v>
      </c>
      <c r="C14" s="1503" t="s">
        <v>911</v>
      </c>
      <c r="D14" s="1503"/>
      <c r="E14" s="578"/>
      <c r="F14" s="466"/>
      <c r="G14" s="345" t="str">
        <f>IF(B14="Yes","Photo and plant list","none")</f>
        <v>none</v>
      </c>
      <c r="H14" s="333">
        <f>IF(B14="Yes","[  ]",0)</f>
        <v>0</v>
      </c>
      <c r="I14" s="458"/>
      <c r="J14" s="458"/>
      <c r="K14" s="459"/>
      <c r="M14" s="306"/>
      <c r="N14" s="306"/>
      <c r="O14" s="464"/>
    </row>
    <row r="15" spans="1:24" ht="16" x14ac:dyDescent="0.2">
      <c r="A15" s="457" t="s">
        <v>1033</v>
      </c>
      <c r="B15" s="278" t="s">
        <v>7</v>
      </c>
      <c r="C15" s="1503" t="s">
        <v>13</v>
      </c>
      <c r="D15" s="1503"/>
      <c r="E15" s="580"/>
      <c r="F15" s="443"/>
      <c r="G15" s="345" t="str">
        <f>IF(B15="Yes","Photo","none")</f>
        <v>none</v>
      </c>
      <c r="H15" s="333">
        <f>IF(B15="Yes","[  ]",0)</f>
        <v>0</v>
      </c>
      <c r="I15" s="458"/>
      <c r="J15" s="458"/>
      <c r="K15" s="459"/>
      <c r="M15" s="463"/>
      <c r="N15" s="463"/>
      <c r="O15" s="464"/>
    </row>
    <row r="16" spans="1:24" ht="17" thickBot="1" x14ac:dyDescent="0.25">
      <c r="A16" s="465" t="s">
        <v>1034</v>
      </c>
      <c r="B16" s="279" t="s">
        <v>7</v>
      </c>
      <c r="C16" s="1491" t="s">
        <v>15</v>
      </c>
      <c r="D16" s="1491"/>
      <c r="E16" s="583"/>
      <c r="F16" s="449"/>
      <c r="G16" s="342" t="str">
        <f>IF(B16="Yes","Site plan","none")</f>
        <v>none</v>
      </c>
      <c r="H16" s="333">
        <f>IF(B16="Yes","[  ]",0)</f>
        <v>0</v>
      </c>
      <c r="I16" s="467"/>
      <c r="J16" s="467"/>
      <c r="K16" s="468"/>
      <c r="M16" s="306"/>
      <c r="N16" s="306"/>
      <c r="O16" s="464"/>
      <c r="V16" s="336">
        <f>IF(H13="[  ]","[  ]",1)</f>
        <v>1</v>
      </c>
    </row>
    <row r="17" spans="1:22" ht="10.5" customHeight="1" thickBot="1" x14ac:dyDescent="0.25">
      <c r="A17" s="1496"/>
      <c r="B17" s="1365"/>
      <c r="C17" s="1365"/>
      <c r="D17" s="1365"/>
      <c r="E17" s="469"/>
      <c r="F17" s="470"/>
      <c r="G17" s="199"/>
      <c r="I17" s="199"/>
      <c r="J17" s="199"/>
      <c r="K17" s="199"/>
      <c r="M17" s="306"/>
      <c r="N17" s="306"/>
      <c r="O17" s="464"/>
      <c r="V17" s="336">
        <f>IF(H14="[  ]","[  ]",1)</f>
        <v>1</v>
      </c>
    </row>
    <row r="18" spans="1:22" ht="16" x14ac:dyDescent="0.2">
      <c r="A18" s="1493" t="s">
        <v>500</v>
      </c>
      <c r="B18" s="1494"/>
      <c r="C18" s="1494"/>
      <c r="D18" s="1495"/>
      <c r="E18" s="453" t="s">
        <v>762</v>
      </c>
      <c r="F18" s="470"/>
      <c r="G18" s="590" t="s">
        <v>17</v>
      </c>
      <c r="H18" s="333" t="s">
        <v>23</v>
      </c>
      <c r="I18" s="455"/>
      <c r="J18" s="455"/>
      <c r="K18" s="456"/>
      <c r="M18" s="306"/>
      <c r="N18" s="306"/>
      <c r="O18" s="464"/>
      <c r="V18" s="336">
        <f>IF(H15="[  ]","[  ]",1)</f>
        <v>1</v>
      </c>
    </row>
    <row r="19" spans="1:22" ht="16" x14ac:dyDescent="0.2">
      <c r="A19" s="457" t="s">
        <v>1035</v>
      </c>
      <c r="B19" s="320" t="s">
        <v>7</v>
      </c>
      <c r="C19" s="1492" t="s">
        <v>555</v>
      </c>
      <c r="D19" s="1492"/>
      <c r="E19" s="582"/>
      <c r="F19" s="471"/>
      <c r="G19" s="587" t="str">
        <f>IF(AND(B19="Yes",C20="Existing"),"Landscape plan, and plant list and an inspection/approval by an FY&amp;N or certified Florid Water Star Agent, or master gardener (only for homes with existing landscape). ","none")</f>
        <v>none</v>
      </c>
      <c r="H19" s="472"/>
      <c r="I19" s="473"/>
      <c r="J19" s="473"/>
      <c r="K19" s="474"/>
      <c r="M19" s="306"/>
      <c r="N19" s="306"/>
      <c r="O19" s="464"/>
      <c r="V19" s="336">
        <f>IF(H16="[  ]","[  ]",1)</f>
        <v>1</v>
      </c>
    </row>
    <row r="20" spans="1:22" ht="16" thickBot="1" x14ac:dyDescent="0.25">
      <c r="A20" s="1488"/>
      <c r="B20" s="1489"/>
      <c r="C20" s="277" t="s">
        <v>22</v>
      </c>
      <c r="D20" s="1319" t="s">
        <v>20</v>
      </c>
      <c r="E20" s="584"/>
      <c r="F20" s="475"/>
      <c r="G20" s="476"/>
      <c r="H20" s="990">
        <f>IF(B19="Yes","[  ]",0)</f>
        <v>0</v>
      </c>
      <c r="I20" s="477"/>
      <c r="J20" s="477"/>
      <c r="K20" s="478"/>
      <c r="M20" s="306"/>
      <c r="N20" s="306"/>
      <c r="O20" s="464"/>
    </row>
    <row r="21" spans="1:22" ht="16" x14ac:dyDescent="0.2">
      <c r="A21" s="199"/>
      <c r="C21" s="463"/>
      <c r="D21" s="463"/>
      <c r="E21" s="420"/>
      <c r="F21" s="479"/>
      <c r="G21" s="480"/>
      <c r="H21" s="481"/>
      <c r="I21" s="480"/>
      <c r="J21" s="480"/>
      <c r="K21" s="480"/>
      <c r="M21" s="463"/>
      <c r="N21" s="463"/>
      <c r="O21" s="464"/>
    </row>
    <row r="22" spans="1:22" ht="15.75" customHeight="1" x14ac:dyDescent="0.2">
      <c r="D22" s="449"/>
      <c r="E22" s="482"/>
      <c r="F22" s="385" t="s">
        <v>7</v>
      </c>
      <c r="M22" s="306"/>
      <c r="N22" s="306"/>
      <c r="O22" s="464"/>
    </row>
    <row r="23" spans="1:22" x14ac:dyDescent="0.2">
      <c r="A23" s="94" t="s">
        <v>1242</v>
      </c>
      <c r="B23" s="94" t="s">
        <v>1037</v>
      </c>
      <c r="E23" s="199"/>
      <c r="F23" s="391" t="s">
        <v>495</v>
      </c>
      <c r="H23" s="483"/>
      <c r="I23" s="306"/>
      <c r="J23" s="306"/>
      <c r="K23" s="306"/>
      <c r="L23" s="306"/>
      <c r="M23" s="306"/>
      <c r="N23" s="306"/>
      <c r="O23" s="464"/>
      <c r="V23" s="336">
        <f>IF(H20="[  ]","[  ]",1)</f>
        <v>1</v>
      </c>
    </row>
    <row r="24" spans="1:22" x14ac:dyDescent="0.2">
      <c r="B24" s="94" t="s">
        <v>1234</v>
      </c>
      <c r="F24" s="391" t="s">
        <v>18</v>
      </c>
      <c r="G24" s="363"/>
      <c r="H24" s="483"/>
      <c r="I24" s="24"/>
      <c r="J24" s="24"/>
      <c r="K24" s="24"/>
      <c r="L24" s="24"/>
      <c r="M24" s="24"/>
      <c r="N24" s="24"/>
      <c r="O24" s="464"/>
    </row>
    <row r="25" spans="1:22" x14ac:dyDescent="0.2">
      <c r="B25" s="94" t="s">
        <v>1038</v>
      </c>
      <c r="F25" s="391" t="s">
        <v>19</v>
      </c>
      <c r="G25" s="363"/>
      <c r="H25" s="483"/>
      <c r="I25" s="24"/>
      <c r="J25" s="24"/>
      <c r="K25" s="24"/>
      <c r="L25" s="24"/>
      <c r="M25" s="24"/>
      <c r="N25" s="24"/>
      <c r="O25" s="464"/>
    </row>
    <row r="26" spans="1:22" x14ac:dyDescent="0.2">
      <c r="F26" s="391"/>
      <c r="G26" s="363"/>
      <c r="H26" s="363"/>
    </row>
    <row r="27" spans="1:22" x14ac:dyDescent="0.2">
      <c r="F27" s="484" t="s">
        <v>7</v>
      </c>
      <c r="G27" s="363"/>
      <c r="H27" s="363"/>
    </row>
    <row r="28" spans="1:22" x14ac:dyDescent="0.2">
      <c r="F28" s="485" t="s">
        <v>21</v>
      </c>
      <c r="G28" s="363"/>
      <c r="H28" s="363"/>
    </row>
    <row r="29" spans="1:22" x14ac:dyDescent="0.2">
      <c r="F29" s="486" t="s">
        <v>22</v>
      </c>
      <c r="G29" s="363"/>
      <c r="H29" s="363"/>
    </row>
    <row r="33" spans="15:15" x14ac:dyDescent="0.2">
      <c r="O33" s="462" t="s">
        <v>529</v>
      </c>
    </row>
  </sheetData>
  <sheetProtection algorithmName="SHA-512" hashValue="zFqa0epvpr2fGhXps10YVaAvyh0RovXCeUVz1xVP3sgouNMFAqRSbGOHRU2XxptogQ6VBBvNg2Bg3A6x7l32Zw==" saltValue="BTdVSldJVGWQNgFqfRff/w==" spinCount="100000" sheet="1" insertHyperlinks="0" selectLockedCells="1"/>
  <mergeCells count="19">
    <mergeCell ref="C6:D6"/>
    <mergeCell ref="C7:D7"/>
    <mergeCell ref="A17:D17"/>
    <mergeCell ref="A1:E1"/>
    <mergeCell ref="A3:E3"/>
    <mergeCell ref="C14:D14"/>
    <mergeCell ref="C15:D15"/>
    <mergeCell ref="A4:D4"/>
    <mergeCell ref="A5:D5"/>
    <mergeCell ref="A20:B20"/>
    <mergeCell ref="C8:D8"/>
    <mergeCell ref="C13:D13"/>
    <mergeCell ref="C16:D16"/>
    <mergeCell ref="C19:D19"/>
    <mergeCell ref="C10:D10"/>
    <mergeCell ref="A18:D18"/>
    <mergeCell ref="C9:D9"/>
    <mergeCell ref="A11:D11"/>
    <mergeCell ref="A12:D12"/>
  </mergeCells>
  <phoneticPr fontId="13" type="noConversion"/>
  <conditionalFormatting sqref="H6">
    <cfRule type="cellIs" dxfId="167" priority="1" stopIfTrue="1" operator="equal">
      <formula>$V$9</formula>
    </cfRule>
  </conditionalFormatting>
  <conditionalFormatting sqref="H8">
    <cfRule type="cellIs" dxfId="166" priority="2" stopIfTrue="1" operator="equal">
      <formula>$V$11</formula>
    </cfRule>
  </conditionalFormatting>
  <conditionalFormatting sqref="H9:H10">
    <cfRule type="cellIs" dxfId="165" priority="3" stopIfTrue="1" operator="equal">
      <formula>$V$12</formula>
    </cfRule>
  </conditionalFormatting>
  <conditionalFormatting sqref="H13">
    <cfRule type="cellIs" dxfId="164" priority="6" stopIfTrue="1" operator="equal">
      <formula>$V$16</formula>
    </cfRule>
  </conditionalFormatting>
  <conditionalFormatting sqref="H14">
    <cfRule type="cellIs" dxfId="163" priority="7" stopIfTrue="1" operator="equal">
      <formula>$V$17</formula>
    </cfRule>
  </conditionalFormatting>
  <conditionalFormatting sqref="H15">
    <cfRule type="cellIs" dxfId="162" priority="8" stopIfTrue="1" operator="equal">
      <formula>$V$18</formula>
    </cfRule>
  </conditionalFormatting>
  <conditionalFormatting sqref="H16">
    <cfRule type="cellIs" dxfId="161" priority="9" stopIfTrue="1" operator="equal">
      <formula>$V$19</formula>
    </cfRule>
  </conditionalFormatting>
  <conditionalFormatting sqref="H20">
    <cfRule type="cellIs" dxfId="160" priority="10" stopIfTrue="1" operator="equal">
      <formula>$V$23</formula>
    </cfRule>
  </conditionalFormatting>
  <conditionalFormatting sqref="H7">
    <cfRule type="cellIs" dxfId="159" priority="17" stopIfTrue="1" operator="equal">
      <formula>#REF!</formula>
    </cfRule>
  </conditionalFormatting>
  <dataValidations count="2">
    <dataValidation type="list" allowBlank="1" showInputMessage="1" showErrorMessage="1" sqref="B19 B6:B10 B13:B16" xr:uid="{00000000-0002-0000-0700-000000000000}">
      <formula1>$F$22:$F$25</formula1>
    </dataValidation>
    <dataValidation type="list" allowBlank="1" showInputMessage="1" showErrorMessage="1" sqref="C20" xr:uid="{00000000-0002-0000-0700-000001000000}">
      <formula1>$F$27:$F$29</formula1>
    </dataValidation>
  </dataValidations>
  <pageMargins left="0.45" right="0.45" top="0.5" bottom="0.5" header="0.3" footer="0.3"/>
  <pageSetup scale="95" orientation="landscape" cellComments="asDisplayed" r:id="rId1"/>
  <headerFooter>
    <oddFooter>&amp;R&amp;P of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99"/>
  <sheetViews>
    <sheetView zoomScale="130" zoomScaleNormal="130" zoomScalePageLayoutView="110" workbookViewId="0">
      <selection activeCell="F46" sqref="F46"/>
    </sheetView>
  </sheetViews>
  <sheetFormatPr baseColWidth="10" defaultColWidth="8.6640625" defaultRowHeight="15" x14ac:dyDescent="0.2"/>
  <cols>
    <col min="1" max="1" width="6.1640625" style="94" customWidth="1"/>
    <col min="2" max="4" width="7.6640625" style="94" customWidth="1"/>
    <col min="5" max="5" width="78.1640625" style="94" customWidth="1"/>
    <col min="6" max="6" width="32.5" style="94" customWidth="1"/>
    <col min="7" max="7" width="3.5" style="510" hidden="1" customWidth="1"/>
    <col min="8" max="8" width="3.5" style="391" hidden="1" customWidth="1"/>
    <col min="9" max="9" width="3.5" style="94" customWidth="1"/>
    <col min="10" max="10" width="70.33203125" style="94" customWidth="1"/>
    <col min="11" max="17" width="8.6640625" style="94"/>
    <col min="18" max="18" width="4.1640625" style="94" customWidth="1"/>
    <col min="19" max="24" width="9.1640625" style="94" customWidth="1"/>
    <col min="25" max="25" width="56.5" style="94" customWidth="1"/>
    <col min="26" max="26" width="10.6640625" style="94" customWidth="1"/>
    <col min="27" max="27" width="8.6640625" style="323"/>
    <col min="28" max="16384" width="8.6640625" style="94"/>
  </cols>
  <sheetData>
    <row r="1" spans="1:29" ht="19" x14ac:dyDescent="0.25">
      <c r="A1" s="1535" t="s">
        <v>767</v>
      </c>
      <c r="B1" s="1536"/>
      <c r="C1" s="1536"/>
      <c r="D1" s="1536"/>
      <c r="E1" s="1536"/>
      <c r="F1" s="1537"/>
      <c r="G1" s="1165"/>
      <c r="H1" s="1165"/>
      <c r="I1" s="91"/>
      <c r="AA1" s="322"/>
      <c r="AB1" s="129"/>
      <c r="AC1" s="129"/>
    </row>
    <row r="2" spans="1:29" ht="18" customHeight="1" x14ac:dyDescent="0.2">
      <c r="A2" s="758" t="s">
        <v>148</v>
      </c>
      <c r="B2" s="759"/>
      <c r="C2" s="759"/>
      <c r="D2" s="759"/>
      <c r="E2" s="759"/>
      <c r="F2" s="756" t="str">
        <f>'1. Instructions'!B5</f>
        <v>Revised 4-5-2022</v>
      </c>
      <c r="J2" s="97"/>
      <c r="K2" s="97"/>
      <c r="L2" s="97"/>
      <c r="M2" s="97"/>
      <c r="N2" s="97"/>
      <c r="O2" s="97"/>
      <c r="P2" s="97"/>
      <c r="Q2" s="97"/>
    </row>
    <row r="3" spans="1:29" ht="28.5" customHeight="1" thickBot="1" x14ac:dyDescent="0.25">
      <c r="A3" s="755"/>
      <c r="B3" s="757" t="s">
        <v>765</v>
      </c>
      <c r="C3" s="757" t="s">
        <v>766</v>
      </c>
      <c r="D3" s="1538" t="s">
        <v>31</v>
      </c>
      <c r="E3" s="1538"/>
      <c r="F3" s="1539"/>
      <c r="J3" s="594" t="s">
        <v>69</v>
      </c>
      <c r="K3" s="23"/>
      <c r="L3" s="23"/>
      <c r="M3" s="23"/>
      <c r="N3" s="23"/>
      <c r="O3" s="23"/>
      <c r="P3" s="129"/>
      <c r="Q3" s="129"/>
    </row>
    <row r="4" spans="1:29" ht="16" x14ac:dyDescent="0.2">
      <c r="A4" s="1541" t="s">
        <v>1190</v>
      </c>
      <c r="B4" s="1542"/>
      <c r="C4" s="1542"/>
      <c r="D4" s="1542"/>
      <c r="E4" s="1542"/>
      <c r="F4" s="751" t="s">
        <v>762</v>
      </c>
      <c r="J4" s="327" t="s">
        <v>27</v>
      </c>
      <c r="K4" s="328" t="s">
        <v>23</v>
      </c>
      <c r="L4" s="24"/>
      <c r="M4" s="24"/>
      <c r="N4" s="24"/>
      <c r="O4" s="24"/>
      <c r="P4" s="306"/>
      <c r="Q4" s="306"/>
      <c r="R4" s="199"/>
    </row>
    <row r="5" spans="1:29" x14ac:dyDescent="0.2">
      <c r="A5" s="329" t="s">
        <v>1372</v>
      </c>
      <c r="B5" s="295">
        <f>IF(G61&gt;75,75,G61)</f>
        <v>30</v>
      </c>
      <c r="C5" s="330" t="s">
        <v>440</v>
      </c>
      <c r="D5" s="1506" t="s">
        <v>1291</v>
      </c>
      <c r="E5" s="1506"/>
      <c r="F5" s="578"/>
      <c r="J5" s="332" t="str">
        <f>IF(B5&gt;0,"Copy of Signed Confirmed HERS Rating","none")</f>
        <v>Copy of Signed Confirmed HERS Rating</v>
      </c>
      <c r="K5" s="333" t="str">
        <f>IF(B5&gt;0,"[  ]",0)</f>
        <v>[  ]</v>
      </c>
      <c r="L5" s="334"/>
      <c r="M5" s="334"/>
      <c r="N5" s="334"/>
      <c r="O5" s="334"/>
      <c r="P5" s="335"/>
      <c r="Q5" s="335"/>
      <c r="R5" s="199"/>
      <c r="AA5" s="336" t="str">
        <f>IF(K5="[  ]","[  ]",1)</f>
        <v>[  ]</v>
      </c>
    </row>
    <row r="6" spans="1:29" x14ac:dyDescent="0.2">
      <c r="A6" s="1524"/>
      <c r="B6" s="1525"/>
      <c r="C6" s="1526"/>
      <c r="D6" s="283" t="s">
        <v>18</v>
      </c>
      <c r="E6" s="1320" t="s">
        <v>32</v>
      </c>
      <c r="F6" s="579" t="s">
        <v>1402</v>
      </c>
      <c r="G6" s="1143"/>
      <c r="J6" s="199"/>
      <c r="L6" s="334"/>
      <c r="M6" s="334"/>
      <c r="N6" s="334"/>
      <c r="O6" s="334"/>
      <c r="P6" s="335"/>
      <c r="Q6" s="335"/>
      <c r="R6" s="199"/>
    </row>
    <row r="7" spans="1:29" x14ac:dyDescent="0.2">
      <c r="A7" s="1528"/>
      <c r="B7" s="1529"/>
      <c r="C7" s="1530"/>
      <c r="D7" s="320">
        <v>65</v>
      </c>
      <c r="E7" s="1321" t="s">
        <v>33</v>
      </c>
      <c r="F7" s="580"/>
      <c r="J7" s="199"/>
      <c r="L7" s="24"/>
      <c r="M7" s="24"/>
      <c r="N7" s="24"/>
      <c r="O7" s="24"/>
      <c r="P7" s="306"/>
      <c r="Q7" s="306"/>
      <c r="R7" s="199"/>
    </row>
    <row r="8" spans="1:29" x14ac:dyDescent="0.2">
      <c r="A8" s="1512" t="s">
        <v>1331</v>
      </c>
      <c r="B8" s="1513"/>
      <c r="C8" s="1513"/>
      <c r="D8" s="1513"/>
      <c r="E8" s="1513"/>
      <c r="F8" s="1242"/>
      <c r="J8" s="199"/>
      <c r="L8" s="760"/>
      <c r="M8" s="760"/>
      <c r="N8" s="760"/>
      <c r="O8" s="760"/>
      <c r="P8" s="765"/>
      <c r="Q8" s="765"/>
      <c r="R8" s="199"/>
    </row>
    <row r="9" spans="1:29" x14ac:dyDescent="0.2">
      <c r="A9" s="1205" t="s">
        <v>1334</v>
      </c>
      <c r="B9" s="295">
        <f>'E1.01b Multi-Fam Energy Option'!B40</f>
        <v>0</v>
      </c>
      <c r="C9" s="1206"/>
      <c r="D9" s="1514" t="s">
        <v>1373</v>
      </c>
      <c r="E9" s="1514"/>
      <c r="F9" s="1242"/>
      <c r="J9" s="199"/>
      <c r="L9" s="760"/>
      <c r="M9" s="760"/>
      <c r="N9" s="760"/>
      <c r="O9" s="760"/>
      <c r="P9" s="765"/>
      <c r="Q9" s="765"/>
      <c r="R9" s="199"/>
    </row>
    <row r="10" spans="1:29" ht="10.5" customHeight="1" x14ac:dyDescent="0.2">
      <c r="A10" s="1515"/>
      <c r="B10" s="1516"/>
      <c r="C10" s="1516"/>
      <c r="D10" s="1516"/>
      <c r="E10" s="1516"/>
      <c r="F10" s="1517"/>
      <c r="J10" s="199"/>
      <c r="L10" s="24"/>
      <c r="M10" s="24"/>
      <c r="N10" s="24"/>
      <c r="O10" s="24"/>
      <c r="P10" s="306"/>
      <c r="Q10" s="306"/>
      <c r="R10" s="199"/>
    </row>
    <row r="11" spans="1:29" ht="16" x14ac:dyDescent="0.2">
      <c r="A11" s="1543" t="s">
        <v>1191</v>
      </c>
      <c r="B11" s="1544"/>
      <c r="C11" s="1544"/>
      <c r="D11" s="1544"/>
      <c r="E11" s="1544"/>
      <c r="F11" s="326" t="s">
        <v>762</v>
      </c>
      <c r="J11" s="327" t="s">
        <v>34</v>
      </c>
      <c r="L11" s="24"/>
      <c r="M11" s="24"/>
      <c r="N11" s="24"/>
      <c r="O11" s="24"/>
      <c r="P11" s="306"/>
      <c r="Q11" s="306"/>
      <c r="R11" s="199"/>
    </row>
    <row r="12" spans="1:29" ht="14.25" customHeight="1" x14ac:dyDescent="0.2">
      <c r="A12" s="338" t="s">
        <v>1040</v>
      </c>
      <c r="B12" s="1152">
        <f>IF(EShome=5,"",'7. Energy'!D12)</f>
        <v>1</v>
      </c>
      <c r="C12" s="1053">
        <v>1</v>
      </c>
      <c r="D12" s="281">
        <v>1</v>
      </c>
      <c r="E12" s="1322" t="s">
        <v>1392</v>
      </c>
      <c r="F12" s="618"/>
      <c r="G12" s="1166"/>
      <c r="J12" s="340" t="str">
        <f>IF(B12=1,"Thermal Bypass Inspection Report. ","none")</f>
        <v xml:space="preserve">Thermal Bypass Inspection Report. </v>
      </c>
      <c r="K12" s="333" t="str">
        <f>IF(B12=1,"[  ]",0)</f>
        <v>[  ]</v>
      </c>
      <c r="L12" s="24"/>
      <c r="M12" s="24"/>
      <c r="N12" s="24"/>
      <c r="O12" s="24"/>
      <c r="P12" s="306"/>
      <c r="Q12" s="306"/>
      <c r="R12" s="199"/>
      <c r="AA12" s="336" t="str">
        <f>IF(K12="[  ]","[  ]",1)</f>
        <v>[  ]</v>
      </c>
    </row>
    <row r="13" spans="1:29" x14ac:dyDescent="0.2">
      <c r="A13" s="338" t="s">
        <v>1041</v>
      </c>
      <c r="B13" s="281">
        <v>1</v>
      </c>
      <c r="C13" s="341">
        <v>1</v>
      </c>
      <c r="D13" s="1507" t="s">
        <v>36</v>
      </c>
      <c r="E13" s="1508"/>
      <c r="F13" s="579" t="s">
        <v>1425</v>
      </c>
      <c r="J13" s="342" t="str">
        <f>IF(B13=1,"Photo of at least 1 properly sealed joint","none")</f>
        <v>Photo of at least 1 properly sealed joint</v>
      </c>
      <c r="K13" s="333" t="str">
        <f>IF(B13=1,"[  ]",0)</f>
        <v>[  ]</v>
      </c>
      <c r="L13" s="24"/>
      <c r="M13" s="24"/>
      <c r="N13" s="24"/>
      <c r="O13" s="24"/>
      <c r="P13" s="306"/>
      <c r="Q13" s="306"/>
      <c r="R13" s="199"/>
      <c r="AA13" s="336" t="str">
        <f>IF(K13="[  ]","[  ]",1)</f>
        <v>[  ]</v>
      </c>
    </row>
    <row r="14" spans="1:29" hidden="1" x14ac:dyDescent="0.2">
      <c r="A14" s="338" t="s">
        <v>1042</v>
      </c>
      <c r="B14" s="281"/>
      <c r="C14" s="343">
        <v>1</v>
      </c>
      <c r="D14" s="1509" t="s">
        <v>501</v>
      </c>
      <c r="E14" s="1510"/>
      <c r="F14" s="579"/>
      <c r="G14" s="514"/>
      <c r="J14" s="591" t="str">
        <f>IF(B14=1,"Smoke test affidavit","none")</f>
        <v>none</v>
      </c>
      <c r="K14" s="333"/>
      <c r="L14" s="24"/>
      <c r="M14" s="24"/>
      <c r="N14" s="24"/>
      <c r="O14" s="24"/>
      <c r="P14" s="306"/>
      <c r="Q14" s="306"/>
      <c r="R14" s="199"/>
      <c r="AA14" s="336"/>
    </row>
    <row r="15" spans="1:29" hidden="1" x14ac:dyDescent="0.2">
      <c r="A15" s="338" t="s">
        <v>1043</v>
      </c>
      <c r="B15" s="281"/>
      <c r="C15" s="341">
        <v>1</v>
      </c>
      <c r="D15" s="1511" t="s">
        <v>37</v>
      </c>
      <c r="E15" s="1511"/>
      <c r="F15" s="579"/>
      <c r="J15" s="345" t="str">
        <f>IF(B15=1,"Photos or floor plan showing locations if windows and installed ceiling fans","none")</f>
        <v>none</v>
      </c>
      <c r="K15" s="333">
        <f>IF(B15=1,"[  ]",0)</f>
        <v>0</v>
      </c>
      <c r="L15" s="24"/>
      <c r="M15" s="24"/>
      <c r="N15" s="24"/>
      <c r="O15" s="24"/>
      <c r="P15" s="306"/>
      <c r="Q15" s="306"/>
      <c r="R15" s="199"/>
      <c r="AA15" s="336">
        <f t="shared" ref="AA15:AA20" si="0">IF(K15="[  ]","[  ]",1)</f>
        <v>1</v>
      </c>
    </row>
    <row r="16" spans="1:29" x14ac:dyDescent="0.2">
      <c r="A16" s="338" t="s">
        <v>1044</v>
      </c>
      <c r="B16" s="281">
        <v>1</v>
      </c>
      <c r="C16" s="341">
        <v>1</v>
      </c>
      <c r="D16" s="1508" t="s">
        <v>937</v>
      </c>
      <c r="E16" s="1508"/>
      <c r="F16" s="579" t="s">
        <v>1424</v>
      </c>
      <c r="J16" s="345" t="str">
        <f>IF(B16=1,"Photos or floor plan showing location of porch","none")</f>
        <v>Photos or floor plan showing location of porch</v>
      </c>
      <c r="K16" s="333" t="str">
        <f>IF(B16=1,"[  ]",0)</f>
        <v>[  ]</v>
      </c>
      <c r="L16" s="24"/>
      <c r="M16" s="24"/>
      <c r="N16" s="24"/>
      <c r="O16" s="24"/>
      <c r="P16" s="306"/>
      <c r="Q16" s="306"/>
      <c r="R16" s="199"/>
      <c r="AA16" s="336" t="str">
        <f t="shared" si="0"/>
        <v>[  ]</v>
      </c>
    </row>
    <row r="17" spans="1:27" hidden="1" x14ac:dyDescent="0.2">
      <c r="A17" s="338" t="s">
        <v>1045</v>
      </c>
      <c r="B17" s="281"/>
      <c r="C17" s="341">
        <v>1</v>
      </c>
      <c r="D17" s="1511" t="s">
        <v>38</v>
      </c>
      <c r="E17" s="1511"/>
      <c r="F17" s="579"/>
      <c r="J17" s="345" t="str">
        <f>IF(B17=1,"Details of storage system","none")</f>
        <v>none</v>
      </c>
      <c r="K17" s="333">
        <f>IF(B17=1,"[  ]",0)</f>
        <v>0</v>
      </c>
      <c r="L17" s="24"/>
      <c r="M17" s="24"/>
      <c r="N17" s="24"/>
      <c r="O17" s="24"/>
      <c r="P17" s="306"/>
      <c r="Q17" s="306"/>
      <c r="R17" s="199"/>
      <c r="AA17" s="336">
        <f t="shared" si="0"/>
        <v>1</v>
      </c>
    </row>
    <row r="18" spans="1:27" hidden="1" x14ac:dyDescent="0.2">
      <c r="A18" s="338" t="s">
        <v>1046</v>
      </c>
      <c r="B18" s="281"/>
      <c r="C18" s="341">
        <v>1</v>
      </c>
      <c r="D18" s="1511" t="s">
        <v>39</v>
      </c>
      <c r="E18" s="1511"/>
      <c r="F18" s="579"/>
      <c r="J18" s="345" t="str">
        <f>IF(B18=1,"Photos or plan showing location of day-lighting features","none")</f>
        <v>none</v>
      </c>
      <c r="K18" s="333">
        <f>IF(B18=1,"[  ]",0)</f>
        <v>0</v>
      </c>
      <c r="L18" s="24"/>
      <c r="M18" s="24"/>
      <c r="N18" s="24"/>
      <c r="O18" s="24"/>
      <c r="P18" s="306"/>
      <c r="Q18" s="306"/>
      <c r="R18" s="199"/>
      <c r="AA18" s="336">
        <f t="shared" si="0"/>
        <v>1</v>
      </c>
    </row>
    <row r="19" spans="1:27" hidden="1" x14ac:dyDescent="0.2">
      <c r="A19" s="338" t="s">
        <v>1047</v>
      </c>
      <c r="B19" s="281"/>
      <c r="C19" s="341">
        <v>1</v>
      </c>
      <c r="D19" s="1511" t="s">
        <v>40</v>
      </c>
      <c r="E19" s="1511"/>
      <c r="F19" s="579"/>
      <c r="J19" s="345" t="str">
        <f>IF(B19=1,"Photo or site plan showing location of trees","none")</f>
        <v>none</v>
      </c>
      <c r="K19" s="333">
        <f>IF(B19=1,"[  ]",0)</f>
        <v>0</v>
      </c>
      <c r="L19" s="24"/>
      <c r="M19" s="24"/>
      <c r="N19" s="24"/>
      <c r="O19" s="24"/>
      <c r="P19" s="306"/>
      <c r="Q19" s="306"/>
      <c r="R19" s="199"/>
      <c r="AA19" s="336">
        <f t="shared" si="0"/>
        <v>1</v>
      </c>
    </row>
    <row r="20" spans="1:27" hidden="1" x14ac:dyDescent="0.2">
      <c r="A20" s="338" t="s">
        <v>1039</v>
      </c>
      <c r="B20" s="280">
        <f>IF(D21&lt;25,0,0)+IF(AND(D21&gt;=25,D21&lt;50),1,0)+IF(AND(D21&gt;=50,D21&lt;75),2,0)+IF(AND(D21&gt;=75,D21&lt;100),3,0)+IF(D21=100,4,0)</f>
        <v>0</v>
      </c>
      <c r="C20" s="346" t="s">
        <v>41</v>
      </c>
      <c r="D20" s="1511" t="s">
        <v>42</v>
      </c>
      <c r="E20" s="1511"/>
      <c r="F20" s="579"/>
      <c r="J20" s="345" t="str">
        <f>IF(B20&gt;0,"Photo or site plan showing locations of trees","none")</f>
        <v>none</v>
      </c>
      <c r="K20" s="333">
        <f>IF(B20&gt;0,"[  ]",0)</f>
        <v>0</v>
      </c>
      <c r="L20" s="24"/>
      <c r="M20" s="24"/>
      <c r="N20" s="24"/>
      <c r="O20" s="24"/>
      <c r="P20" s="306"/>
      <c r="Q20" s="306"/>
      <c r="R20" s="199"/>
      <c r="AA20" s="336">
        <f t="shared" si="0"/>
        <v>1</v>
      </c>
    </row>
    <row r="21" spans="1:27" ht="14" hidden="1" customHeight="1" x14ac:dyDescent="0.2">
      <c r="A21" s="1518"/>
      <c r="B21" s="1519"/>
      <c r="C21" s="1519"/>
      <c r="D21" s="281"/>
      <c r="E21" s="347" t="s">
        <v>43</v>
      </c>
      <c r="F21" s="579"/>
      <c r="G21" s="1167"/>
      <c r="J21" s="199"/>
      <c r="L21" s="24"/>
      <c r="M21" s="24"/>
      <c r="N21" s="24"/>
      <c r="O21" s="24"/>
      <c r="P21" s="306"/>
      <c r="Q21" s="306"/>
      <c r="R21" s="199"/>
    </row>
    <row r="22" spans="1:27" hidden="1" x14ac:dyDescent="0.2">
      <c r="A22" s="338" t="s">
        <v>598</v>
      </c>
      <c r="B22" s="281"/>
      <c r="C22" s="341">
        <v>1</v>
      </c>
      <c r="D22" s="1511" t="s">
        <v>44</v>
      </c>
      <c r="E22" s="1511"/>
      <c r="F22" s="579"/>
      <c r="J22" s="345" t="str">
        <f>IF(B22=1,"Photo or floor plan showing location of utility room","none")</f>
        <v>none</v>
      </c>
      <c r="K22" s="333">
        <f>IF(B22=1,"[  ]",0)</f>
        <v>0</v>
      </c>
      <c r="L22" s="24"/>
      <c r="M22" s="24"/>
      <c r="N22" s="24"/>
      <c r="O22" s="24"/>
      <c r="P22" s="306"/>
      <c r="Q22" s="306"/>
      <c r="R22" s="199"/>
      <c r="AA22" s="336">
        <f>IF(K22="[  ]","[  ]",1)</f>
        <v>1</v>
      </c>
    </row>
    <row r="23" spans="1:27" x14ac:dyDescent="0.2">
      <c r="A23" s="338" t="s">
        <v>599</v>
      </c>
      <c r="B23" s="281"/>
      <c r="C23" s="341">
        <v>1</v>
      </c>
      <c r="D23" s="1532" t="s">
        <v>45</v>
      </c>
      <c r="E23" s="1532"/>
      <c r="F23" s="579" t="s">
        <v>1426</v>
      </c>
      <c r="J23" s="345" t="str">
        <f>IF(B23=1,"Photo or wall section detail","none")</f>
        <v>none</v>
      </c>
      <c r="K23" s="333">
        <f>IF(B23=1,"[  ]",0)</f>
        <v>0</v>
      </c>
      <c r="L23" s="24"/>
      <c r="M23" s="24"/>
      <c r="N23" s="24"/>
      <c r="O23" s="24"/>
      <c r="P23" s="306"/>
      <c r="Q23" s="306"/>
      <c r="R23" s="199"/>
      <c r="AA23" s="336">
        <f>IF(K23="[  ]","[  ]",1)</f>
        <v>1</v>
      </c>
    </row>
    <row r="24" spans="1:27" x14ac:dyDescent="0.2">
      <c r="A24" s="338" t="s">
        <v>600</v>
      </c>
      <c r="B24" s="281"/>
      <c r="C24" s="341">
        <v>1</v>
      </c>
      <c r="D24" s="1532" t="s">
        <v>556</v>
      </c>
      <c r="E24" s="1532"/>
      <c r="F24" s="579" t="s">
        <v>1427</v>
      </c>
      <c r="J24" s="345" t="str">
        <f>IF(B24=1,"Cut sheet showing reflectance spec.","none")</f>
        <v>none</v>
      </c>
      <c r="K24" s="333">
        <f>IF(B24=1,"[  ]",0)</f>
        <v>0</v>
      </c>
      <c r="L24" s="24"/>
      <c r="M24" s="24"/>
      <c r="N24" s="24"/>
      <c r="O24" s="24"/>
      <c r="P24" s="306"/>
      <c r="Q24" s="306"/>
      <c r="R24" s="199"/>
      <c r="AA24" s="336">
        <f>IF(K24="[  ]","[  ]",1)</f>
        <v>1</v>
      </c>
    </row>
    <row r="25" spans="1:27" x14ac:dyDescent="0.2">
      <c r="A25" s="1521"/>
      <c r="B25" s="1522"/>
      <c r="C25" s="1523"/>
      <c r="D25" s="730"/>
      <c r="E25" s="1323" t="s">
        <v>916</v>
      </c>
      <c r="F25" s="579"/>
      <c r="J25" s="728"/>
      <c r="K25" s="727"/>
      <c r="L25" s="24"/>
      <c r="M25" s="24"/>
      <c r="N25" s="24"/>
      <c r="O25" s="24"/>
      <c r="P25" s="306"/>
      <c r="Q25" s="306"/>
      <c r="R25" s="199"/>
      <c r="AA25" s="336"/>
    </row>
    <row r="26" spans="1:27" x14ac:dyDescent="0.2">
      <c r="A26" s="338" t="s">
        <v>601</v>
      </c>
      <c r="B26" s="275">
        <f>IF(D27="yes",IF(D28&gt;49,IF(D29="yes",IF(D30&gt;49,2,1),1),0),0)</f>
        <v>2</v>
      </c>
      <c r="C26" s="346" t="s">
        <v>47</v>
      </c>
      <c r="D26" s="1508" t="s">
        <v>48</v>
      </c>
      <c r="E26" s="1508"/>
      <c r="F26" s="579" t="s">
        <v>1406</v>
      </c>
      <c r="G26" s="514"/>
      <c r="J26" s="345" t="str">
        <f>IF(B26&gt;0,"Photo or cut sheet of paint / surface used", "none")</f>
        <v>Photo or cut sheet of paint / surface used</v>
      </c>
      <c r="K26" s="333">
        <f>IF(B26=1,"[  ]",0)</f>
        <v>0</v>
      </c>
      <c r="L26" s="24"/>
      <c r="M26" s="24"/>
      <c r="N26" s="24"/>
      <c r="O26" s="24"/>
      <c r="P26" s="306"/>
      <c r="Q26" s="306"/>
      <c r="R26" s="199"/>
      <c r="AA26" s="336">
        <f>IF(K26="[  ]","[  ]",1)</f>
        <v>1</v>
      </c>
    </row>
    <row r="27" spans="1:27" x14ac:dyDescent="0.2">
      <c r="A27" s="1524"/>
      <c r="B27" s="1525"/>
      <c r="C27" s="1526"/>
      <c r="D27" s="282" t="s">
        <v>18</v>
      </c>
      <c r="E27" s="1321" t="s">
        <v>49</v>
      </c>
      <c r="F27" s="579"/>
      <c r="G27" s="779"/>
      <c r="J27" s="199"/>
      <c r="L27" s="24"/>
      <c r="M27" s="24"/>
      <c r="N27" s="24"/>
      <c r="O27" s="24"/>
      <c r="P27" s="306"/>
      <c r="Q27" s="306"/>
      <c r="R27" s="199"/>
    </row>
    <row r="28" spans="1:27" x14ac:dyDescent="0.2">
      <c r="A28" s="1496"/>
      <c r="B28" s="1365"/>
      <c r="C28" s="1527"/>
      <c r="D28" s="1195">
        <v>80</v>
      </c>
      <c r="E28" s="1324" t="s">
        <v>917</v>
      </c>
      <c r="F28" s="579"/>
      <c r="G28" s="779"/>
      <c r="J28" s="199"/>
      <c r="L28" s="24"/>
      <c r="M28" s="24"/>
      <c r="N28" s="24"/>
      <c r="O28" s="24"/>
      <c r="P28" s="306"/>
      <c r="Q28" s="306"/>
      <c r="R28" s="199"/>
    </row>
    <row r="29" spans="1:27" x14ac:dyDescent="0.2">
      <c r="A29" s="1496"/>
      <c r="B29" s="1365"/>
      <c r="C29" s="1527"/>
      <c r="D29" s="320" t="s">
        <v>18</v>
      </c>
      <c r="E29" s="1321" t="s">
        <v>1286</v>
      </c>
      <c r="F29" s="579"/>
      <c r="G29" s="779"/>
      <c r="J29" s="199"/>
      <c r="L29" s="24"/>
      <c r="M29" s="24"/>
      <c r="N29" s="24"/>
      <c r="O29" s="24"/>
      <c r="P29" s="306"/>
      <c r="Q29" s="306"/>
      <c r="R29" s="199"/>
    </row>
    <row r="30" spans="1:27" x14ac:dyDescent="0.2">
      <c r="A30" s="1528"/>
      <c r="B30" s="1529"/>
      <c r="C30" s="1530"/>
      <c r="D30" s="1195">
        <v>80</v>
      </c>
      <c r="E30" s="1324" t="s">
        <v>1287</v>
      </c>
      <c r="F30" s="579"/>
      <c r="G30" s="779"/>
      <c r="J30" s="199"/>
      <c r="L30" s="24"/>
      <c r="M30" s="24"/>
      <c r="N30" s="24"/>
      <c r="O30" s="24"/>
      <c r="P30" s="306"/>
      <c r="Q30" s="306"/>
      <c r="R30" s="199"/>
    </row>
    <row r="31" spans="1:27" x14ac:dyDescent="0.2">
      <c r="A31" s="338" t="s">
        <v>602</v>
      </c>
      <c r="B31" s="281">
        <v>1</v>
      </c>
      <c r="C31" s="341">
        <v>1</v>
      </c>
      <c r="D31" s="1508" t="s">
        <v>1292</v>
      </c>
      <c r="E31" s="1508"/>
      <c r="F31" s="579" t="s">
        <v>1407</v>
      </c>
      <c r="J31" s="345" t="str">
        <f>IF(B31=1,"Photo of light fixture","none")</f>
        <v>Photo of light fixture</v>
      </c>
      <c r="K31" s="333" t="str">
        <f>IF(B31=1,"[  ]",0)</f>
        <v>[  ]</v>
      </c>
      <c r="L31" s="24"/>
      <c r="M31" s="24"/>
      <c r="N31" s="24"/>
      <c r="O31" s="24"/>
      <c r="P31" s="306"/>
      <c r="Q31" s="306"/>
      <c r="R31" s="199"/>
      <c r="AA31" s="336" t="str">
        <f t="shared" ref="AA31:AA39" si="1">IF(K31="[  ]","[  ]",1)</f>
        <v>[  ]</v>
      </c>
    </row>
    <row r="32" spans="1:27" hidden="1" x14ac:dyDescent="0.2">
      <c r="A32" s="338" t="s">
        <v>603</v>
      </c>
      <c r="B32" s="1266"/>
      <c r="C32" s="1265"/>
      <c r="D32" s="1511" t="s">
        <v>1381</v>
      </c>
      <c r="E32" s="1511"/>
      <c r="F32" s="579"/>
      <c r="J32" s="345" t="str">
        <f>IF(B32=1,"Photo or plumbing plan","none")</f>
        <v>none</v>
      </c>
      <c r="K32" s="333">
        <f>IF(B32=1,"[  ]",0)</f>
        <v>0</v>
      </c>
      <c r="L32" s="24"/>
      <c r="M32" s="24"/>
      <c r="N32" s="24"/>
      <c r="O32" s="24"/>
      <c r="P32" s="306"/>
      <c r="Q32" s="306"/>
      <c r="R32" s="199"/>
      <c r="AA32" s="336">
        <f t="shared" si="1"/>
        <v>1</v>
      </c>
    </row>
    <row r="33" spans="1:27" hidden="1" x14ac:dyDescent="0.2">
      <c r="A33" s="338" t="s">
        <v>604</v>
      </c>
      <c r="B33" s="320"/>
      <c r="C33" s="341">
        <v>2</v>
      </c>
      <c r="D33" s="1520" t="s">
        <v>462</v>
      </c>
      <c r="E33" s="1520"/>
      <c r="F33" s="579"/>
      <c r="J33" s="348" t="str">
        <f>IF(B33=2,"Spec. sheet and solar fraction calculation.","none")</f>
        <v>none</v>
      </c>
      <c r="K33" s="333">
        <f>IF(B33=2,"[  ]",0)</f>
        <v>0</v>
      </c>
      <c r="L33" s="24"/>
      <c r="M33" s="24"/>
      <c r="N33" s="24"/>
      <c r="O33" s="24"/>
      <c r="P33" s="306"/>
      <c r="Q33" s="306"/>
      <c r="R33" s="199"/>
      <c r="AA33" s="336">
        <f t="shared" si="1"/>
        <v>1</v>
      </c>
    </row>
    <row r="34" spans="1:27" ht="16" hidden="1" x14ac:dyDescent="0.2">
      <c r="A34" s="338" t="s">
        <v>605</v>
      </c>
      <c r="B34" s="281"/>
      <c r="C34" s="341">
        <v>1</v>
      </c>
      <c r="D34" s="1520" t="s">
        <v>54</v>
      </c>
      <c r="E34" s="1520"/>
      <c r="F34" s="579"/>
      <c r="G34" s="1168"/>
      <c r="J34" s="592" t="str">
        <f>IF(B34=1,"Photo of the buried insulated lines or a receipt for the appropriate of pipe insulation must be provided","none")</f>
        <v>none</v>
      </c>
      <c r="K34" s="333">
        <f t="shared" ref="K34:K39" si="2">IF(B34=1,"[  ]",0)</f>
        <v>0</v>
      </c>
      <c r="L34" s="24"/>
      <c r="M34" s="24"/>
      <c r="N34" s="24"/>
      <c r="O34" s="24"/>
      <c r="P34" s="306"/>
      <c r="Q34" s="306"/>
      <c r="R34" s="199"/>
      <c r="AA34" s="336">
        <f t="shared" si="1"/>
        <v>1</v>
      </c>
    </row>
    <row r="35" spans="1:27" hidden="1" x14ac:dyDescent="0.2">
      <c r="A35" s="338" t="s">
        <v>606</v>
      </c>
      <c r="B35" s="1266"/>
      <c r="C35" s="1265"/>
      <c r="D35" s="1492" t="s">
        <v>1293</v>
      </c>
      <c r="E35" s="1492"/>
      <c r="F35" s="579"/>
      <c r="J35" s="345" t="str">
        <f>IF(B35=1,"Cut sheet flor each appliance","none")</f>
        <v>none</v>
      </c>
      <c r="K35" s="333">
        <f t="shared" si="2"/>
        <v>0</v>
      </c>
      <c r="L35" s="24"/>
      <c r="M35" s="24"/>
      <c r="N35" s="24"/>
      <c r="O35" s="24"/>
      <c r="P35" s="306"/>
      <c r="Q35" s="306"/>
      <c r="R35" s="199"/>
      <c r="AA35" s="336">
        <f t="shared" si="1"/>
        <v>1</v>
      </c>
    </row>
    <row r="36" spans="1:27" x14ac:dyDescent="0.2">
      <c r="A36" s="338" t="s">
        <v>607</v>
      </c>
      <c r="B36" s="281">
        <v>1</v>
      </c>
      <c r="C36" s="1038">
        <v>1</v>
      </c>
      <c r="D36" s="1540" t="s">
        <v>573</v>
      </c>
      <c r="E36" s="1540"/>
      <c r="F36" s="579" t="s">
        <v>1404</v>
      </c>
      <c r="J36" s="345" t="str">
        <f>IF(B36=1,"Cut sheet for each appliance","none")</f>
        <v>Cut sheet for each appliance</v>
      </c>
      <c r="K36" s="333" t="str">
        <f t="shared" si="2"/>
        <v>[  ]</v>
      </c>
      <c r="L36" s="24"/>
      <c r="M36" s="24"/>
      <c r="N36" s="24"/>
      <c r="O36" s="24"/>
      <c r="P36" s="306"/>
      <c r="Q36" s="306"/>
      <c r="R36" s="199"/>
      <c r="AA36" s="336" t="str">
        <f t="shared" si="1"/>
        <v>[  ]</v>
      </c>
    </row>
    <row r="37" spans="1:27" hidden="1" x14ac:dyDescent="0.2">
      <c r="A37" s="338" t="s">
        <v>608</v>
      </c>
      <c r="B37" s="1266"/>
      <c r="C37" s="1265"/>
      <c r="D37" s="1492" t="s">
        <v>1293</v>
      </c>
      <c r="E37" s="1492"/>
      <c r="F37" s="579"/>
      <c r="J37" s="345" t="str">
        <f>IF(B37=1,"Photo or cut sheet for each appliance","none")</f>
        <v>none</v>
      </c>
      <c r="K37" s="333">
        <f t="shared" si="2"/>
        <v>0</v>
      </c>
      <c r="L37" s="24"/>
      <c r="M37" s="24"/>
      <c r="N37" s="24"/>
      <c r="O37" s="24"/>
      <c r="P37" s="306"/>
      <c r="Q37" s="306"/>
      <c r="R37" s="199"/>
      <c r="AA37" s="336">
        <f t="shared" si="1"/>
        <v>1</v>
      </c>
    </row>
    <row r="38" spans="1:27" ht="62" customHeight="1" x14ac:dyDescent="0.2">
      <c r="A38" s="338" t="s">
        <v>609</v>
      </c>
      <c r="B38" s="281"/>
      <c r="C38" s="339" t="s">
        <v>1383</v>
      </c>
      <c r="D38" s="1531" t="s">
        <v>1295</v>
      </c>
      <c r="E38" s="1532"/>
      <c r="F38" s="579" t="s">
        <v>1428</v>
      </c>
      <c r="J38" s="345" t="str">
        <f>IF(B38=1,"Include details of pumping/storage system","none")</f>
        <v>none</v>
      </c>
      <c r="K38" s="333">
        <f t="shared" si="2"/>
        <v>0</v>
      </c>
      <c r="L38" s="24"/>
      <c r="M38" s="24"/>
      <c r="N38" s="24"/>
      <c r="O38" s="24"/>
      <c r="P38" s="306"/>
      <c r="Q38" s="306"/>
      <c r="R38" s="199"/>
      <c r="AA38" s="336">
        <f t="shared" si="1"/>
        <v>1</v>
      </c>
    </row>
    <row r="39" spans="1:27" x14ac:dyDescent="0.2">
      <c r="A39" s="1232" t="s">
        <v>610</v>
      </c>
      <c r="B39" s="284">
        <f>H57</f>
        <v>1</v>
      </c>
      <c r="C39" s="339">
        <v>1</v>
      </c>
      <c r="D39" s="1533" t="s">
        <v>1294</v>
      </c>
      <c r="E39" s="1534"/>
      <c r="F39" s="579"/>
      <c r="J39" s="345" t="str">
        <f>IF(B39=1,"Dimensioned floorplan and calculation","none")</f>
        <v>Dimensioned floorplan and calculation</v>
      </c>
      <c r="K39" s="328" t="str">
        <f t="shared" si="2"/>
        <v>[  ]</v>
      </c>
      <c r="L39" s="24"/>
      <c r="M39" s="24"/>
      <c r="N39" s="24"/>
      <c r="O39" s="24"/>
      <c r="P39" s="306"/>
      <c r="Q39" s="306"/>
      <c r="R39" s="199"/>
      <c r="AA39" s="336" t="str">
        <f t="shared" si="1"/>
        <v>[  ]</v>
      </c>
    </row>
    <row r="40" spans="1:27" x14ac:dyDescent="0.2">
      <c r="A40" s="1518"/>
      <c r="B40" s="1519"/>
      <c r="C40" s="1519"/>
      <c r="D40" s="320">
        <v>1804</v>
      </c>
      <c r="E40" s="1324" t="s">
        <v>430</v>
      </c>
      <c r="F40" s="579" t="s">
        <v>1431</v>
      </c>
      <c r="J40" s="350"/>
      <c r="K40" s="351"/>
      <c r="L40" s="24"/>
      <c r="M40" s="24"/>
      <c r="N40" s="24"/>
      <c r="O40" s="24"/>
      <c r="P40" s="306"/>
      <c r="Q40" s="306"/>
      <c r="R40" s="199"/>
      <c r="AA40" s="336"/>
    </row>
    <row r="41" spans="1:27" x14ac:dyDescent="0.2">
      <c r="A41" s="1518"/>
      <c r="B41" s="1519"/>
      <c r="C41" s="1519"/>
      <c r="D41" s="320">
        <v>1580</v>
      </c>
      <c r="E41" s="1324" t="s">
        <v>431</v>
      </c>
      <c r="F41" s="579"/>
      <c r="J41" s="150"/>
      <c r="K41" s="317"/>
      <c r="L41" s="24"/>
      <c r="M41" s="24"/>
      <c r="N41" s="24"/>
      <c r="O41" s="24"/>
      <c r="P41" s="306"/>
      <c r="Q41" s="306"/>
      <c r="R41" s="199"/>
      <c r="AA41" s="336"/>
    </row>
    <row r="42" spans="1:27" x14ac:dyDescent="0.2">
      <c r="A42" s="1518"/>
      <c r="B42" s="1519"/>
      <c r="C42" s="1519"/>
      <c r="D42" s="320">
        <v>2</v>
      </c>
      <c r="E42" s="1324" t="s">
        <v>432</v>
      </c>
      <c r="F42" s="579"/>
      <c r="J42" s="352"/>
      <c r="K42" s="353"/>
      <c r="L42" s="24"/>
      <c r="M42" s="24"/>
      <c r="N42" s="24"/>
      <c r="O42" s="24"/>
      <c r="P42" s="306"/>
      <c r="Q42" s="306"/>
      <c r="R42" s="199"/>
      <c r="AA42" s="336"/>
    </row>
    <row r="43" spans="1:27" hidden="1" x14ac:dyDescent="0.2">
      <c r="A43" s="516" t="s">
        <v>611</v>
      </c>
      <c r="B43" s="281"/>
      <c r="C43" s="341">
        <v>1</v>
      </c>
      <c r="D43" s="1511" t="s">
        <v>444</v>
      </c>
      <c r="E43" s="1511"/>
      <c r="F43" s="579"/>
      <c r="J43" s="345" t="str">
        <f>IF(B43=1,"Photo or site plan","none")</f>
        <v>none</v>
      </c>
      <c r="K43" s="354">
        <f>IF(B43=1,"[  ]",0)</f>
        <v>0</v>
      </c>
      <c r="L43" s="24"/>
      <c r="M43" s="24"/>
      <c r="N43" s="24"/>
      <c r="O43" s="24"/>
      <c r="P43" s="306"/>
      <c r="Q43" s="306"/>
      <c r="R43" s="199"/>
      <c r="AA43" s="336">
        <f>IF(K43="[  ]","[  ]",1)</f>
        <v>1</v>
      </c>
    </row>
    <row r="44" spans="1:27" hidden="1" x14ac:dyDescent="0.2">
      <c r="A44" s="516" t="s">
        <v>843</v>
      </c>
      <c r="B44" s="320"/>
      <c r="C44" s="341" t="s">
        <v>270</v>
      </c>
      <c r="D44" s="1511" t="s">
        <v>918</v>
      </c>
      <c r="E44" s="1511"/>
      <c r="F44" s="579"/>
      <c r="J44" s="345" t="str">
        <f>IF(B44&lt;=2,"Cut sheet of can lights used or photos of unvented attic","none")</f>
        <v>Cut sheet of can lights used or photos of unvented attic</v>
      </c>
      <c r="K44" s="333">
        <f>IF(B44=2,"[  ]",0)</f>
        <v>0</v>
      </c>
      <c r="L44" s="24"/>
      <c r="M44" s="24"/>
      <c r="N44" s="24"/>
      <c r="O44" s="24"/>
      <c r="P44" s="306"/>
      <c r="Q44" s="306"/>
      <c r="R44" s="199"/>
      <c r="AA44" s="336">
        <f>IF(K44="[  ]","[  ]",1)</f>
        <v>1</v>
      </c>
    </row>
    <row r="45" spans="1:27" x14ac:dyDescent="0.2">
      <c r="A45" s="516" t="s">
        <v>612</v>
      </c>
      <c r="B45" s="320">
        <v>3</v>
      </c>
      <c r="C45" s="1038">
        <v>3</v>
      </c>
      <c r="D45" s="1508" t="s">
        <v>1297</v>
      </c>
      <c r="E45" s="1508"/>
      <c r="F45" s="579" t="s">
        <v>1438</v>
      </c>
      <c r="J45" s="345" t="str">
        <f>IF(B45=3,"Lighting schedule and package compliance.","none")</f>
        <v>Lighting schedule and package compliance.</v>
      </c>
      <c r="K45" s="333" t="s">
        <v>7</v>
      </c>
      <c r="L45" s="24"/>
      <c r="M45" s="24"/>
      <c r="N45" s="24"/>
      <c r="O45" s="24"/>
      <c r="P45" s="306"/>
      <c r="Q45" s="306"/>
      <c r="R45" s="199"/>
    </row>
    <row r="46" spans="1:27" x14ac:dyDescent="0.2">
      <c r="A46" s="516" t="s">
        <v>613</v>
      </c>
      <c r="B46" s="320">
        <v>2</v>
      </c>
      <c r="C46" s="1038">
        <v>2</v>
      </c>
      <c r="D46" s="1508" t="s">
        <v>61</v>
      </c>
      <c r="E46" s="1508"/>
      <c r="F46" s="579" t="s">
        <v>1407</v>
      </c>
      <c r="J46" s="345" t="s">
        <v>68</v>
      </c>
      <c r="K46" s="333" t="s">
        <v>7</v>
      </c>
      <c r="L46" s="24"/>
      <c r="M46" s="24"/>
      <c r="N46" s="24"/>
      <c r="O46" s="24"/>
      <c r="P46" s="306"/>
      <c r="Q46" s="306"/>
      <c r="R46" s="199"/>
    </row>
    <row r="47" spans="1:27" hidden="1" x14ac:dyDescent="0.2">
      <c r="A47" s="516" t="s">
        <v>614</v>
      </c>
      <c r="B47" s="281"/>
      <c r="C47" s="341">
        <v>1</v>
      </c>
      <c r="D47" s="1545" t="s">
        <v>894</v>
      </c>
      <c r="E47" s="1546"/>
      <c r="F47" s="579"/>
      <c r="J47" s="654" t="s">
        <v>68</v>
      </c>
      <c r="K47" s="653" t="s">
        <v>7</v>
      </c>
      <c r="L47" s="24"/>
      <c r="M47" s="24"/>
      <c r="N47" s="24"/>
      <c r="O47" s="24"/>
      <c r="P47" s="306"/>
      <c r="Q47" s="306"/>
      <c r="R47" s="199"/>
    </row>
    <row r="48" spans="1:27" hidden="1" x14ac:dyDescent="0.2">
      <c r="A48" s="516" t="s">
        <v>893</v>
      </c>
      <c r="B48" s="281"/>
      <c r="C48" s="341">
        <v>1</v>
      </c>
      <c r="D48" s="1545" t="s">
        <v>960</v>
      </c>
      <c r="E48" s="1550"/>
      <c r="F48" s="579"/>
      <c r="J48" s="894" t="s">
        <v>68</v>
      </c>
      <c r="K48" s="893" t="s">
        <v>7</v>
      </c>
      <c r="L48" s="760"/>
      <c r="M48" s="760"/>
      <c r="N48" s="760"/>
      <c r="O48" s="760"/>
      <c r="P48" s="765"/>
      <c r="Q48" s="765"/>
      <c r="R48" s="199"/>
    </row>
    <row r="49" spans="1:27" s="360" customFormat="1" ht="16" x14ac:dyDescent="0.2">
      <c r="A49" s="1555"/>
      <c r="B49" s="289">
        <f>SUM(B31:B48,B22:B26,B12:B20,B5,B9)</f>
        <v>43</v>
      </c>
      <c r="C49" s="355">
        <v>112</v>
      </c>
      <c r="D49" s="356" t="s">
        <v>944</v>
      </c>
      <c r="E49" s="356"/>
      <c r="F49" s="1551"/>
      <c r="G49" s="1169"/>
      <c r="H49" s="1170"/>
      <c r="I49" s="357"/>
      <c r="J49" s="358"/>
      <c r="K49" s="358"/>
      <c r="L49" s="358"/>
      <c r="M49" s="358"/>
      <c r="N49" s="358"/>
      <c r="O49" s="358"/>
      <c r="P49" s="359"/>
      <c r="Q49" s="359"/>
      <c r="AA49" s="361"/>
    </row>
    <row r="50" spans="1:27" ht="10.5" customHeight="1" x14ac:dyDescent="0.2">
      <c r="A50" s="1556"/>
      <c r="B50" s="1558" t="s">
        <v>1378</v>
      </c>
      <c r="C50" s="1516"/>
      <c r="D50" s="1516"/>
      <c r="E50" s="1559"/>
      <c r="F50" s="1551"/>
      <c r="I50" s="18"/>
      <c r="J50" s="18"/>
      <c r="K50" s="18"/>
      <c r="L50" s="18"/>
      <c r="M50" s="18"/>
      <c r="N50" s="18"/>
      <c r="O50" s="18"/>
    </row>
    <row r="51" spans="1:27" ht="19" x14ac:dyDescent="0.25">
      <c r="A51" s="1557"/>
      <c r="B51" s="276">
        <f>IF(B49&gt;75,75,B49)</f>
        <v>43</v>
      </c>
      <c r="C51" s="1547" t="s">
        <v>63</v>
      </c>
      <c r="D51" s="1548"/>
      <c r="E51" s="1549"/>
      <c r="F51" s="1551"/>
      <c r="G51" s="1171"/>
      <c r="H51" s="731"/>
      <c r="I51" s="362"/>
      <c r="J51" s="18"/>
      <c r="K51" s="18"/>
      <c r="L51" s="18"/>
      <c r="M51" s="18"/>
      <c r="N51" s="18"/>
      <c r="O51" s="18"/>
    </row>
    <row r="52" spans="1:27" ht="10.5" customHeight="1" x14ac:dyDescent="0.2">
      <c r="A52" s="1553"/>
      <c r="B52" s="1554"/>
      <c r="C52" s="1554"/>
      <c r="D52" s="1554"/>
      <c r="E52" s="1554"/>
      <c r="F52" s="1551"/>
      <c r="I52" s="18"/>
      <c r="J52" s="18"/>
      <c r="K52" s="18"/>
      <c r="L52" s="18"/>
      <c r="M52" s="18"/>
      <c r="N52" s="18"/>
      <c r="O52" s="18"/>
    </row>
    <row r="53" spans="1:27" x14ac:dyDescent="0.2">
      <c r="A53" s="1560" t="s">
        <v>64</v>
      </c>
      <c r="B53" s="1561"/>
      <c r="C53" s="1561"/>
      <c r="D53" s="1562"/>
      <c r="E53" s="287"/>
      <c r="F53" s="1551"/>
      <c r="G53" s="779"/>
      <c r="H53" s="484"/>
      <c r="I53" s="24"/>
      <c r="J53" s="896"/>
      <c r="K53" s="18"/>
      <c r="L53" s="18"/>
      <c r="M53" s="18"/>
      <c r="N53" s="18"/>
      <c r="O53" s="18"/>
    </row>
    <row r="54" spans="1:27" ht="14" customHeight="1" thickBot="1" x14ac:dyDescent="0.25">
      <c r="A54" s="1563" t="s">
        <v>65</v>
      </c>
      <c r="B54" s="1564"/>
      <c r="C54" s="1564"/>
      <c r="D54" s="1565"/>
      <c r="E54" s="321"/>
      <c r="F54" s="1552"/>
      <c r="G54" s="779"/>
      <c r="H54" s="484"/>
      <c r="I54" s="24"/>
      <c r="J54" s="18"/>
      <c r="K54" s="18"/>
      <c r="L54" s="18"/>
      <c r="M54" s="18"/>
      <c r="N54" s="18"/>
      <c r="O54" s="18"/>
    </row>
    <row r="55" spans="1:27" x14ac:dyDescent="0.2">
      <c r="F55" s="660"/>
      <c r="G55" s="487"/>
      <c r="H55" s="385"/>
      <c r="I55" s="385"/>
      <c r="J55" s="18"/>
      <c r="K55" s="18"/>
      <c r="L55" s="18"/>
      <c r="M55" s="18"/>
      <c r="N55" s="18"/>
      <c r="O55" s="18"/>
    </row>
    <row r="56" spans="1:27" x14ac:dyDescent="0.2">
      <c r="F56" s="462"/>
      <c r="G56" s="487" t="s">
        <v>7</v>
      </c>
      <c r="H56" s="488">
        <f>(D40/(SQRT(D41*D42)))</f>
        <v>32.091719820113383</v>
      </c>
      <c r="I56" s="488"/>
      <c r="J56" s="18"/>
      <c r="K56" s="18"/>
      <c r="L56" s="18"/>
      <c r="M56" s="18"/>
      <c r="N56" s="18"/>
      <c r="O56" s="18"/>
    </row>
    <row r="57" spans="1:27" x14ac:dyDescent="0.2">
      <c r="F57" s="462"/>
      <c r="G57" s="487" t="s">
        <v>495</v>
      </c>
      <c r="H57" s="488">
        <f>IF(AND(H56&lt;43,H56&gt;0),1,0)</f>
        <v>1</v>
      </c>
      <c r="I57" s="488"/>
      <c r="J57" s="18"/>
      <c r="K57" s="18"/>
      <c r="L57" s="18"/>
      <c r="M57" s="18"/>
      <c r="N57" s="18"/>
      <c r="O57" s="18"/>
    </row>
    <row r="58" spans="1:27" x14ac:dyDescent="0.2">
      <c r="E58" s="414"/>
      <c r="F58" s="619"/>
      <c r="G58" s="487" t="s">
        <v>18</v>
      </c>
      <c r="H58" s="488"/>
      <c r="I58" s="488"/>
      <c r="J58" s="18"/>
      <c r="K58" s="18"/>
      <c r="L58" s="18"/>
      <c r="M58" s="18"/>
      <c r="N58" s="18"/>
      <c r="O58" s="18"/>
    </row>
    <row r="59" spans="1:27" x14ac:dyDescent="0.2">
      <c r="E59" s="659"/>
      <c r="F59" s="729"/>
      <c r="G59" s="487" t="s">
        <v>19</v>
      </c>
      <c r="H59" s="488"/>
      <c r="I59" s="488"/>
      <c r="J59" s="18"/>
      <c r="K59" s="18"/>
      <c r="L59" s="18"/>
      <c r="M59" s="18"/>
      <c r="N59" s="18"/>
      <c r="O59" s="18"/>
    </row>
    <row r="60" spans="1:27" x14ac:dyDescent="0.2">
      <c r="E60" s="659"/>
      <c r="F60" s="729"/>
      <c r="G60" s="487"/>
      <c r="H60" s="385"/>
      <c r="I60" s="385"/>
      <c r="J60" s="18"/>
      <c r="K60" s="18"/>
      <c r="L60" s="18"/>
      <c r="M60" s="18"/>
      <c r="N60" s="18"/>
      <c r="O60" s="18"/>
    </row>
    <row r="61" spans="1:27" x14ac:dyDescent="0.2">
      <c r="E61" s="659"/>
      <c r="F61" s="729"/>
      <c r="G61" s="487">
        <f>IF(D6=G58,IF(G63&lt;=0,0,G63),0)</f>
        <v>30</v>
      </c>
      <c r="H61" s="385"/>
      <c r="I61" s="385"/>
      <c r="J61" s="18"/>
      <c r="K61" s="18"/>
      <c r="L61" s="18"/>
      <c r="M61" s="18"/>
      <c r="N61" s="18"/>
      <c r="O61" s="18"/>
    </row>
    <row r="62" spans="1:27" x14ac:dyDescent="0.2">
      <c r="E62" s="659"/>
      <c r="F62" s="729"/>
      <c r="G62" s="487"/>
      <c r="H62" s="385"/>
      <c r="I62" s="385"/>
      <c r="J62" s="18"/>
      <c r="K62" s="18"/>
      <c r="L62" s="18"/>
      <c r="M62" s="18"/>
      <c r="N62" s="18"/>
      <c r="O62" s="18"/>
    </row>
    <row r="63" spans="1:27" x14ac:dyDescent="0.2">
      <c r="E63" s="659"/>
      <c r="F63" s="729"/>
      <c r="G63" s="487">
        <f>(75-D7)*3</f>
        <v>30</v>
      </c>
      <c r="H63" s="385"/>
      <c r="I63" s="385"/>
      <c r="J63" s="18"/>
      <c r="K63" s="18"/>
      <c r="L63" s="18"/>
      <c r="M63" s="18"/>
      <c r="N63" s="18"/>
      <c r="O63" s="18"/>
    </row>
    <row r="64" spans="1:27" x14ac:dyDescent="0.2">
      <c r="E64" s="659"/>
      <c r="F64" s="729"/>
      <c r="G64" s="487" t="s">
        <v>7</v>
      </c>
      <c r="H64" s="385"/>
      <c r="I64" s="385"/>
      <c r="J64" s="18"/>
      <c r="K64" s="18"/>
      <c r="L64" s="18"/>
      <c r="M64" s="18"/>
      <c r="N64" s="18"/>
      <c r="O64" s="18"/>
    </row>
    <row r="65" spans="3:9" x14ac:dyDescent="0.2">
      <c r="E65" s="659"/>
      <c r="F65" s="729"/>
      <c r="G65" s="1172" t="s">
        <v>75</v>
      </c>
      <c r="H65" s="385"/>
      <c r="I65" s="385"/>
    </row>
    <row r="66" spans="3:9" x14ac:dyDescent="0.2">
      <c r="E66" s="659"/>
      <c r="F66" s="729"/>
      <c r="G66" s="1172" t="s">
        <v>495</v>
      </c>
      <c r="H66" s="385"/>
      <c r="I66" s="385"/>
    </row>
    <row r="67" spans="3:9" x14ac:dyDescent="0.2">
      <c r="E67" s="659"/>
      <c r="F67" s="729"/>
      <c r="G67" s="1172">
        <v>1</v>
      </c>
      <c r="H67" s="385"/>
      <c r="I67" s="385"/>
    </row>
    <row r="68" spans="3:9" x14ac:dyDescent="0.2">
      <c r="F68" s="462"/>
      <c r="G68" s="487" t="s">
        <v>75</v>
      </c>
      <c r="H68" s="385"/>
      <c r="I68" s="385"/>
    </row>
    <row r="69" spans="3:9" x14ac:dyDescent="0.2">
      <c r="G69" s="487" t="s">
        <v>495</v>
      </c>
      <c r="H69" s="385"/>
      <c r="I69" s="385"/>
    </row>
    <row r="70" spans="3:9" x14ac:dyDescent="0.2">
      <c r="E70" s="391">
        <f>'1. Instructions'!A5:E5</f>
        <v>0</v>
      </c>
      <c r="G70" s="487"/>
      <c r="H70" s="385"/>
      <c r="I70" s="385"/>
    </row>
    <row r="71" spans="3:9" x14ac:dyDescent="0.2">
      <c r="G71" s="487">
        <v>1</v>
      </c>
      <c r="H71" s="385"/>
      <c r="I71" s="385"/>
    </row>
    <row r="72" spans="3:9" x14ac:dyDescent="0.2">
      <c r="C72" s="462"/>
      <c r="G72" s="487">
        <v>2</v>
      </c>
      <c r="H72" s="385"/>
      <c r="I72" s="385"/>
    </row>
    <row r="73" spans="3:9" x14ac:dyDescent="0.2">
      <c r="G73" s="1173">
        <v>3</v>
      </c>
      <c r="H73" s="385"/>
      <c r="I73" s="385"/>
    </row>
    <row r="74" spans="3:9" x14ac:dyDescent="0.2">
      <c r="G74" s="487">
        <v>4</v>
      </c>
      <c r="H74" s="385"/>
      <c r="I74" s="385"/>
    </row>
    <row r="75" spans="3:9" x14ac:dyDescent="0.2">
      <c r="G75" s="487" t="s">
        <v>75</v>
      </c>
      <c r="H75" s="385"/>
      <c r="I75" s="385"/>
    </row>
    <row r="76" spans="3:9" x14ac:dyDescent="0.2">
      <c r="G76" s="487" t="s">
        <v>495</v>
      </c>
      <c r="H76" s="385"/>
      <c r="I76" s="385"/>
    </row>
    <row r="77" spans="3:9" x14ac:dyDescent="0.2">
      <c r="G77" s="487">
        <v>1</v>
      </c>
      <c r="H77" s="385"/>
      <c r="I77" s="385"/>
    </row>
    <row r="78" spans="3:9" x14ac:dyDescent="0.2">
      <c r="G78" s="487">
        <v>2</v>
      </c>
      <c r="H78" s="385"/>
      <c r="I78" s="385"/>
    </row>
    <row r="79" spans="3:9" x14ac:dyDescent="0.2">
      <c r="G79" s="487" t="s">
        <v>7</v>
      </c>
      <c r="H79" s="385"/>
      <c r="I79" s="385"/>
    </row>
    <row r="80" spans="3:9" x14ac:dyDescent="0.2">
      <c r="G80" s="487" t="s">
        <v>75</v>
      </c>
      <c r="H80" s="385"/>
      <c r="I80" s="385"/>
    </row>
    <row r="81" spans="7:9" x14ac:dyDescent="0.2">
      <c r="G81" s="487" t="s">
        <v>495</v>
      </c>
      <c r="H81" s="385"/>
      <c r="I81" s="385"/>
    </row>
    <row r="82" spans="7:9" x14ac:dyDescent="0.2">
      <c r="G82" s="487">
        <v>2</v>
      </c>
      <c r="H82" s="385"/>
      <c r="I82" s="385"/>
    </row>
    <row r="83" spans="7:9" x14ac:dyDescent="0.2">
      <c r="G83" s="487" t="s">
        <v>7</v>
      </c>
      <c r="H83" s="385"/>
      <c r="I83" s="385"/>
    </row>
    <row r="84" spans="7:9" x14ac:dyDescent="0.2">
      <c r="G84" s="487" t="s">
        <v>75</v>
      </c>
      <c r="H84" s="385"/>
      <c r="I84" s="385"/>
    </row>
    <row r="85" spans="7:9" x14ac:dyDescent="0.2">
      <c r="G85" s="487" t="s">
        <v>495</v>
      </c>
      <c r="H85" s="385"/>
      <c r="I85" s="385"/>
    </row>
    <row r="86" spans="7:9" x14ac:dyDescent="0.2">
      <c r="G86" s="487">
        <v>3</v>
      </c>
      <c r="H86" s="385"/>
      <c r="I86" s="385"/>
    </row>
    <row r="87" spans="7:9" x14ac:dyDescent="0.2">
      <c r="G87" s="487"/>
      <c r="H87" s="385"/>
      <c r="I87" s="385"/>
    </row>
    <row r="88" spans="7:9" x14ac:dyDescent="0.2">
      <c r="G88" s="487" t="s">
        <v>7</v>
      </c>
      <c r="H88" s="385"/>
      <c r="I88" s="385"/>
    </row>
    <row r="89" spans="7:9" x14ac:dyDescent="0.2">
      <c r="G89" s="487" t="s">
        <v>75</v>
      </c>
      <c r="H89" s="385"/>
      <c r="I89" s="385"/>
    </row>
    <row r="90" spans="7:9" x14ac:dyDescent="0.2">
      <c r="G90" s="487" t="s">
        <v>495</v>
      </c>
    </row>
    <row r="91" spans="7:9" x14ac:dyDescent="0.2">
      <c r="G91" s="487">
        <v>1</v>
      </c>
    </row>
    <row r="92" spans="7:9" x14ac:dyDescent="0.2">
      <c r="G92" s="510">
        <v>2</v>
      </c>
    </row>
    <row r="95" spans="7:9" x14ac:dyDescent="0.2">
      <c r="G95" s="510" t="s">
        <v>1296</v>
      </c>
    </row>
    <row r="96" spans="7:9" x14ac:dyDescent="0.2">
      <c r="G96" s="510" t="s">
        <v>495</v>
      </c>
    </row>
    <row r="97" spans="7:7" x14ac:dyDescent="0.2">
      <c r="G97" s="510">
        <v>1</v>
      </c>
    </row>
    <row r="98" spans="7:7" x14ac:dyDescent="0.2">
      <c r="G98" s="510">
        <v>3</v>
      </c>
    </row>
    <row r="99" spans="7:7" x14ac:dyDescent="0.2">
      <c r="G99" s="510">
        <v>4</v>
      </c>
    </row>
  </sheetData>
  <sheetProtection algorithmName="SHA-512" hashValue="TAeoHNnSxx+K8ehBo0x455CC3e1hyWI7OxexnhE0XaQaw/IDQq8xThEHLQ5pq1Nq09us6IMiEN3og3+vFQXkiA==" saltValue="D8uiVlxpCYyzeU2YbLzuvg==" spinCount="100000" sheet="1" insertHyperlinks="0" selectLockedCells="1"/>
  <mergeCells count="47">
    <mergeCell ref="F49:F54"/>
    <mergeCell ref="A52:E52"/>
    <mergeCell ref="A49:A51"/>
    <mergeCell ref="B50:E50"/>
    <mergeCell ref="A53:D53"/>
    <mergeCell ref="A54:D54"/>
    <mergeCell ref="D47:E47"/>
    <mergeCell ref="C51:E51"/>
    <mergeCell ref="D48:E48"/>
    <mergeCell ref="D34:E34"/>
    <mergeCell ref="D35:E35"/>
    <mergeCell ref="D45:E45"/>
    <mergeCell ref="D46:E46"/>
    <mergeCell ref="A1:F1"/>
    <mergeCell ref="D3:F3"/>
    <mergeCell ref="A40:C42"/>
    <mergeCell ref="D17:E17"/>
    <mergeCell ref="D36:E36"/>
    <mergeCell ref="D37:E37"/>
    <mergeCell ref="D20:E20"/>
    <mergeCell ref="D22:E22"/>
    <mergeCell ref="D23:E23"/>
    <mergeCell ref="D24:E24"/>
    <mergeCell ref="D26:E26"/>
    <mergeCell ref="D31:E31"/>
    <mergeCell ref="D32:E32"/>
    <mergeCell ref="A4:E4"/>
    <mergeCell ref="A6:C7"/>
    <mergeCell ref="A11:E11"/>
    <mergeCell ref="D18:E18"/>
    <mergeCell ref="A21:C21"/>
    <mergeCell ref="D43:E43"/>
    <mergeCell ref="D44:E44"/>
    <mergeCell ref="D33:E33"/>
    <mergeCell ref="A25:C25"/>
    <mergeCell ref="A27:C30"/>
    <mergeCell ref="D19:E19"/>
    <mergeCell ref="D38:E38"/>
    <mergeCell ref="D39:E39"/>
    <mergeCell ref="D5:E5"/>
    <mergeCell ref="D13:E13"/>
    <mergeCell ref="D14:E14"/>
    <mergeCell ref="D15:E15"/>
    <mergeCell ref="D16:E16"/>
    <mergeCell ref="A8:E8"/>
    <mergeCell ref="D9:E9"/>
    <mergeCell ref="A10:F10"/>
  </mergeCells>
  <phoneticPr fontId="13" type="noConversion"/>
  <conditionalFormatting sqref="K5 K12:K14">
    <cfRule type="cellIs" dxfId="158" priority="33" stopIfTrue="1" operator="greaterThan">
      <formula>0</formula>
    </cfRule>
  </conditionalFormatting>
  <conditionalFormatting sqref="K45:K48">
    <cfRule type="cellIs" dxfId="157" priority="54" stopIfTrue="1" operator="equal">
      <formula>#REF!</formula>
    </cfRule>
  </conditionalFormatting>
  <conditionalFormatting sqref="K15">
    <cfRule type="cellIs" dxfId="156" priority="60" stopIfTrue="1" operator="equal">
      <formula>$AA$15</formula>
    </cfRule>
  </conditionalFormatting>
  <conditionalFormatting sqref="K16">
    <cfRule type="cellIs" dxfId="155" priority="61" stopIfTrue="1" operator="equal">
      <formula>$AA$16</formula>
    </cfRule>
  </conditionalFormatting>
  <conditionalFormatting sqref="K17">
    <cfRule type="cellIs" dxfId="154" priority="62" stopIfTrue="1" operator="equal">
      <formula>$AA$17</formula>
    </cfRule>
  </conditionalFormatting>
  <conditionalFormatting sqref="K18">
    <cfRule type="cellIs" dxfId="153" priority="63" stopIfTrue="1" operator="equal">
      <formula>$AA$18</formula>
    </cfRule>
  </conditionalFormatting>
  <conditionalFormatting sqref="K19">
    <cfRule type="cellIs" dxfId="152" priority="64" stopIfTrue="1" operator="equal">
      <formula>$AA$19</formula>
    </cfRule>
  </conditionalFormatting>
  <conditionalFormatting sqref="K20">
    <cfRule type="cellIs" dxfId="151" priority="65" stopIfTrue="1" operator="equal">
      <formula>$AA$20</formula>
    </cfRule>
  </conditionalFormatting>
  <conditionalFormatting sqref="K22">
    <cfRule type="cellIs" dxfId="150" priority="66" stopIfTrue="1" operator="equal">
      <formula>$AA$22</formula>
    </cfRule>
  </conditionalFormatting>
  <conditionalFormatting sqref="K23">
    <cfRule type="cellIs" dxfId="149" priority="67" stopIfTrue="1" operator="equal">
      <formula>$AA$23</formula>
    </cfRule>
  </conditionalFormatting>
  <conditionalFormatting sqref="K24:K25">
    <cfRule type="cellIs" dxfId="148" priority="68" stopIfTrue="1" operator="equal">
      <formula>$AA$24</formula>
    </cfRule>
  </conditionalFormatting>
  <conditionalFormatting sqref="K26">
    <cfRule type="cellIs" dxfId="147" priority="69" stopIfTrue="1" operator="equal">
      <formula>$AA$26</formula>
    </cfRule>
  </conditionalFormatting>
  <conditionalFormatting sqref="K31">
    <cfRule type="cellIs" dxfId="146" priority="70" stopIfTrue="1" operator="equal">
      <formula>$AA$31</formula>
    </cfRule>
  </conditionalFormatting>
  <dataValidations count="7">
    <dataValidation type="list" allowBlank="1" showInputMessage="1" showErrorMessage="1" sqref="B45" xr:uid="{00000000-0002-0000-0800-000000000000}">
      <formula1>$G$83:$G$86</formula1>
    </dataValidation>
    <dataValidation type="list" allowBlank="1" showInputMessage="1" showErrorMessage="1" sqref="D6 D27 D29" xr:uid="{00000000-0002-0000-0800-000001000000}">
      <formula1>$G$56:$G$59</formula1>
    </dataValidation>
    <dataValidation type="list" allowBlank="1" showInputMessage="1" showErrorMessage="1" sqref="B20" xr:uid="{00000000-0002-0000-0800-000002000000}">
      <formula1>$G$68:$G$74</formula1>
    </dataValidation>
    <dataValidation type="list" allowBlank="1" showInputMessage="1" showErrorMessage="1" sqref="D12 B47:B48 B43 B13:B19 B31 B22:B24 B34 B36" xr:uid="{00000000-0002-0000-0800-000003000000}">
      <formula1>$G$64:$G$67</formula1>
    </dataValidation>
    <dataValidation type="list" allowBlank="1" showInputMessage="1" showErrorMessage="1" sqref="B33 B46" xr:uid="{00000000-0002-0000-0800-000004000000}">
      <formula1>$G$79:$G$82</formula1>
    </dataValidation>
    <dataValidation type="list" allowBlank="1" showInputMessage="1" showErrorMessage="1" sqref="B44" xr:uid="{00000000-0002-0000-0800-000005000000}">
      <formula1>$G$88:$G$92</formula1>
    </dataValidation>
    <dataValidation type="list" allowBlank="1" showInputMessage="1" showErrorMessage="1" sqref="B38" xr:uid="{F38385FE-84F4-3444-B70C-9E6128FF752F}">
      <formula1>$G$94:$G$99</formula1>
    </dataValidation>
  </dataValidations>
  <pageMargins left="0.25" right="0.25" top="0.5" bottom="1" header="0.3" footer="0.3"/>
  <pageSetup scale="91" fitToHeight="2" orientation="landscape" cellComments="asDisplayed" r:id="rId1"/>
  <headerFooter>
    <oddFooter>&amp;C&amp;G&amp;R&amp;P of &amp;N</oddFooter>
  </headerFooter>
  <drawing r:id="rId2"/>
  <legacyDrawing r:id="rId3"/>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4614D-D6C0-8A47-BA61-2381A35773B2}">
  <sheetPr>
    <pageSetUpPr fitToPage="1"/>
  </sheetPr>
  <dimension ref="A1:AC112"/>
  <sheetViews>
    <sheetView topLeftCell="A24" zoomScale="130" zoomScaleNormal="130" zoomScalePageLayoutView="110" workbookViewId="0">
      <selection activeCell="B20" sqref="B20:B27"/>
    </sheetView>
  </sheetViews>
  <sheetFormatPr baseColWidth="10" defaultColWidth="8.6640625" defaultRowHeight="15" x14ac:dyDescent="0.2"/>
  <cols>
    <col min="1" max="1" width="8.1640625" style="94" customWidth="1"/>
    <col min="2" max="4" width="7.6640625" style="94" customWidth="1"/>
    <col min="5" max="5" width="80.1640625" style="94" customWidth="1"/>
    <col min="6" max="6" width="32.5" style="94" customWidth="1"/>
    <col min="7" max="7" width="5.83203125" style="1200" hidden="1" customWidth="1"/>
    <col min="8" max="8" width="3.5" style="391" hidden="1" customWidth="1"/>
    <col min="9" max="9" width="3.5" style="94" hidden="1" customWidth="1"/>
    <col min="10" max="10" width="70.33203125" style="94" hidden="1" customWidth="1"/>
    <col min="11" max="11" width="0" style="94" hidden="1" customWidth="1"/>
    <col min="12" max="17" width="8.6640625" style="94"/>
    <col min="18" max="18" width="4.1640625" style="94" customWidth="1"/>
    <col min="19" max="24" width="9.1640625" style="94" customWidth="1"/>
    <col min="25" max="25" width="56.5" style="94" customWidth="1"/>
    <col min="26" max="26" width="10.6640625" style="94" customWidth="1"/>
    <col min="27" max="27" width="8.6640625" style="323"/>
    <col min="28" max="16384" width="8.6640625" style="94"/>
  </cols>
  <sheetData>
    <row r="1" spans="1:29" ht="19" x14ac:dyDescent="0.25">
      <c r="A1" s="1535" t="s">
        <v>767</v>
      </c>
      <c r="B1" s="1536"/>
      <c r="C1" s="1536"/>
      <c r="D1" s="1536"/>
      <c r="E1" s="1536"/>
      <c r="F1" s="1537"/>
      <c r="G1" s="1228"/>
      <c r="H1" s="1165"/>
      <c r="I1" s="91"/>
      <c r="AA1" s="322"/>
      <c r="AB1" s="764"/>
      <c r="AC1" s="764"/>
    </row>
    <row r="2" spans="1:29" ht="19" x14ac:dyDescent="0.25">
      <c r="A2" s="1568" t="s">
        <v>1332</v>
      </c>
      <c r="B2" s="1569"/>
      <c r="C2" s="1569"/>
      <c r="D2" s="1569"/>
      <c r="E2" s="1569"/>
      <c r="F2" s="1570"/>
      <c r="G2" s="1228"/>
      <c r="H2" s="1165"/>
      <c r="I2" s="91"/>
      <c r="AA2" s="322"/>
      <c r="AB2" s="764"/>
      <c r="AC2" s="764"/>
    </row>
    <row r="3" spans="1:29" ht="28.5" customHeight="1" thickBot="1" x14ac:dyDescent="0.25">
      <c r="A3" s="755"/>
      <c r="B3" s="757" t="s">
        <v>765</v>
      </c>
      <c r="C3" s="757" t="s">
        <v>766</v>
      </c>
      <c r="D3" s="1538" t="s">
        <v>31</v>
      </c>
      <c r="E3" s="1538"/>
      <c r="F3" s="1539"/>
      <c r="J3" s="594" t="s">
        <v>69</v>
      </c>
      <c r="K3" s="23"/>
      <c r="L3" s="23"/>
      <c r="M3" s="23"/>
      <c r="N3" s="23"/>
      <c r="O3" s="23"/>
      <c r="P3" s="764"/>
      <c r="Q3" s="764"/>
    </row>
    <row r="4" spans="1:29" ht="16" x14ac:dyDescent="0.2">
      <c r="A4" s="329" t="s">
        <v>1334</v>
      </c>
      <c r="B4" s="1243" t="s">
        <v>1332</v>
      </c>
      <c r="C4" s="1244"/>
      <c r="D4" s="1244"/>
      <c r="E4" s="1244"/>
      <c r="F4" s="751" t="s">
        <v>762</v>
      </c>
      <c r="J4" s="327" t="s">
        <v>27</v>
      </c>
      <c r="K4" s="1218" t="s">
        <v>23</v>
      </c>
      <c r="L4" s="760"/>
      <c r="M4" s="760"/>
      <c r="N4" s="760"/>
      <c r="O4" s="760"/>
      <c r="P4" s="765"/>
      <c r="Q4" s="765"/>
      <c r="R4" s="199"/>
    </row>
    <row r="5" spans="1:29" ht="122" customHeight="1" thickBot="1" x14ac:dyDescent="0.25">
      <c r="A5" s="1571" t="s">
        <v>1333</v>
      </c>
      <c r="B5" s="1572"/>
      <c r="C5" s="1572"/>
      <c r="D5" s="1572"/>
      <c r="E5" s="1573"/>
      <c r="F5" s="1249"/>
      <c r="J5" s="327"/>
      <c r="K5" s="1218"/>
      <c r="L5" s="760"/>
      <c r="M5" s="760"/>
      <c r="N5" s="760"/>
      <c r="O5" s="760"/>
      <c r="P5" s="765"/>
      <c r="Q5" s="765"/>
      <c r="R5" s="199"/>
    </row>
    <row r="6" spans="1:29" ht="17" thickBot="1" x14ac:dyDescent="0.25">
      <c r="A6" s="1575" t="s">
        <v>1335</v>
      </c>
      <c r="B6" s="1576"/>
      <c r="C6" s="1576"/>
      <c r="D6" s="1576"/>
      <c r="E6" s="1577"/>
      <c r="F6" s="326" t="s">
        <v>762</v>
      </c>
      <c r="G6" s="1248"/>
      <c r="J6" s="327"/>
      <c r="K6" s="1218"/>
      <c r="L6" s="760"/>
      <c r="M6" s="760"/>
      <c r="N6" s="760"/>
      <c r="O6" s="760"/>
      <c r="P6" s="765"/>
      <c r="Q6" s="765"/>
      <c r="R6" s="199"/>
    </row>
    <row r="7" spans="1:29" x14ac:dyDescent="0.2">
      <c r="A7" s="1245" t="s">
        <v>1336</v>
      </c>
      <c r="B7" s="1250"/>
      <c r="C7" s="330" t="s">
        <v>1337</v>
      </c>
      <c r="D7" s="1566" t="s">
        <v>1338</v>
      </c>
      <c r="E7" s="1567"/>
      <c r="F7" s="1260"/>
      <c r="J7" s="332"/>
      <c r="K7" s="1207">
        <f>IF(B7&gt;0,"[  ]",0)</f>
        <v>0</v>
      </c>
      <c r="L7" s="334"/>
      <c r="M7" s="334"/>
      <c r="N7" s="334"/>
      <c r="O7" s="334"/>
      <c r="P7" s="335"/>
      <c r="Q7" s="335"/>
      <c r="R7" s="199"/>
      <c r="AA7" s="336">
        <f>IF(K7="[  ]","[  ]",1)</f>
        <v>1</v>
      </c>
    </row>
    <row r="8" spans="1:29" x14ac:dyDescent="0.2">
      <c r="A8" s="1245" t="s">
        <v>1339</v>
      </c>
      <c r="B8" s="1250"/>
      <c r="C8" s="1199" t="s">
        <v>505</v>
      </c>
      <c r="D8" s="1574" t="s">
        <v>1346</v>
      </c>
      <c r="E8" s="1574"/>
      <c r="F8" s="1260"/>
      <c r="J8" s="1247"/>
      <c r="K8" s="1201"/>
      <c r="L8" s="334"/>
      <c r="M8" s="334"/>
      <c r="N8" s="334"/>
      <c r="O8" s="334"/>
      <c r="P8" s="335"/>
      <c r="Q8" s="335"/>
      <c r="R8" s="199"/>
      <c r="AA8" s="336"/>
    </row>
    <row r="9" spans="1:29" x14ac:dyDescent="0.2">
      <c r="A9" s="1245" t="s">
        <v>1343</v>
      </c>
      <c r="B9" s="1250"/>
      <c r="C9" s="1199" t="s">
        <v>973</v>
      </c>
      <c r="D9" s="1574" t="s">
        <v>1347</v>
      </c>
      <c r="E9" s="1574"/>
      <c r="F9" s="1260"/>
      <c r="J9" s="1247"/>
      <c r="K9" s="1201"/>
      <c r="L9" s="334"/>
      <c r="M9" s="334"/>
      <c r="N9" s="334"/>
      <c r="O9" s="334"/>
      <c r="P9" s="335"/>
      <c r="Q9" s="335"/>
      <c r="R9" s="199"/>
      <c r="AA9" s="336"/>
    </row>
    <row r="10" spans="1:29" x14ac:dyDescent="0.2">
      <c r="A10" s="1245" t="s">
        <v>1340</v>
      </c>
      <c r="B10" s="1250"/>
      <c r="C10" s="1199" t="s">
        <v>1337</v>
      </c>
      <c r="D10" s="1574" t="s">
        <v>1348</v>
      </c>
      <c r="E10" s="1574"/>
      <c r="F10" s="1260"/>
      <c r="J10" s="1247"/>
      <c r="K10" s="1201"/>
      <c r="L10" s="334"/>
      <c r="M10" s="334"/>
      <c r="N10" s="334"/>
      <c r="O10" s="334"/>
      <c r="P10" s="335"/>
      <c r="Q10" s="335"/>
      <c r="R10" s="199"/>
      <c r="AA10" s="336"/>
    </row>
    <row r="11" spans="1:29" x14ac:dyDescent="0.2">
      <c r="A11" s="1245" t="s">
        <v>1341</v>
      </c>
      <c r="B11" s="1250"/>
      <c r="C11" s="1199" t="s">
        <v>1344</v>
      </c>
      <c r="D11" s="1574" t="s">
        <v>1349</v>
      </c>
      <c r="E11" s="1574"/>
      <c r="F11" s="1260"/>
      <c r="J11" s="1247"/>
      <c r="K11" s="1201"/>
      <c r="L11" s="334"/>
      <c r="M11" s="334"/>
      <c r="N11" s="334"/>
      <c r="O11" s="334"/>
      <c r="P11" s="335"/>
      <c r="Q11" s="335"/>
      <c r="R11" s="199"/>
      <c r="AA11" s="336"/>
    </row>
    <row r="12" spans="1:29" x14ac:dyDescent="0.2">
      <c r="A12" s="1245" t="s">
        <v>1342</v>
      </c>
      <c r="B12" s="1250"/>
      <c r="C12" s="1199" t="s">
        <v>1345</v>
      </c>
      <c r="D12" s="1574" t="s">
        <v>1350</v>
      </c>
      <c r="E12" s="1574"/>
      <c r="F12" s="1260"/>
      <c r="J12" s="1247"/>
      <c r="K12" s="1201"/>
      <c r="L12" s="334"/>
      <c r="M12" s="334"/>
      <c r="N12" s="334"/>
      <c r="O12" s="334"/>
      <c r="P12" s="335"/>
      <c r="Q12" s="335"/>
      <c r="R12" s="199"/>
      <c r="AA12" s="336"/>
    </row>
    <row r="13" spans="1:29" x14ac:dyDescent="0.2">
      <c r="A13" s="1246"/>
      <c r="B13" s="1257">
        <f>SUM(B7:B12)</f>
        <v>0</v>
      </c>
      <c r="C13" s="1578" t="s">
        <v>1374</v>
      </c>
      <c r="D13" s="1578"/>
      <c r="E13" s="1578"/>
      <c r="F13" s="1260"/>
      <c r="J13" s="1247"/>
      <c r="K13" s="1201"/>
      <c r="L13" s="334"/>
      <c r="M13" s="334"/>
      <c r="N13" s="334"/>
      <c r="O13" s="334"/>
      <c r="P13" s="335"/>
      <c r="Q13" s="335"/>
      <c r="R13" s="199"/>
      <c r="AA13" s="336"/>
    </row>
    <row r="14" spans="1:29" ht="10.5" customHeight="1" thickBot="1" x14ac:dyDescent="0.25">
      <c r="A14" s="1515"/>
      <c r="B14" s="1516"/>
      <c r="C14" s="1516"/>
      <c r="D14" s="1516"/>
      <c r="E14" s="1516"/>
      <c r="F14" s="1517"/>
      <c r="J14" s="199"/>
      <c r="L14" s="760"/>
      <c r="M14" s="760"/>
      <c r="N14" s="760"/>
      <c r="O14" s="760"/>
      <c r="P14" s="765"/>
      <c r="Q14" s="765"/>
      <c r="R14" s="199"/>
    </row>
    <row r="15" spans="1:29" ht="17" thickBot="1" x14ac:dyDescent="0.25">
      <c r="A15" s="1575" t="s">
        <v>1351</v>
      </c>
      <c r="B15" s="1576"/>
      <c r="C15" s="1576"/>
      <c r="D15" s="1576"/>
      <c r="E15" s="1577"/>
      <c r="F15" s="326" t="s">
        <v>762</v>
      </c>
      <c r="J15" s="327" t="s">
        <v>34</v>
      </c>
      <c r="L15" s="760"/>
      <c r="M15" s="760"/>
      <c r="N15" s="760"/>
      <c r="O15" s="760"/>
      <c r="P15" s="765"/>
      <c r="Q15" s="765"/>
      <c r="R15" s="199"/>
    </row>
    <row r="16" spans="1:29" ht="47" customHeight="1" x14ac:dyDescent="0.2">
      <c r="A16" s="1251" t="s">
        <v>1336</v>
      </c>
      <c r="B16" s="1250"/>
      <c r="C16" s="1053" t="s">
        <v>1367</v>
      </c>
      <c r="D16" s="1580" t="s">
        <v>1352</v>
      </c>
      <c r="E16" s="1574"/>
      <c r="F16" s="1224"/>
      <c r="G16" s="1229"/>
      <c r="J16" s="340" t="str">
        <f>IF(B16=1,"Thermal Bypass Inspection Report. ","none")</f>
        <v>none</v>
      </c>
      <c r="K16" s="1207">
        <f>IF(B16=1,"[  ]",0)</f>
        <v>0</v>
      </c>
      <c r="L16" s="760"/>
      <c r="M16" s="760"/>
      <c r="N16" s="760"/>
      <c r="O16" s="760"/>
      <c r="P16" s="765"/>
      <c r="Q16" s="765"/>
      <c r="R16" s="199"/>
      <c r="AA16" s="336">
        <f>IF(K16="[  ]","[  ]",1)</f>
        <v>1</v>
      </c>
    </row>
    <row r="17" spans="1:27" x14ac:dyDescent="0.2">
      <c r="A17" s="1246"/>
      <c r="B17" s="1257">
        <f>SUM(B16)</f>
        <v>0</v>
      </c>
      <c r="C17" s="1578" t="s">
        <v>1375</v>
      </c>
      <c r="D17" s="1578"/>
      <c r="E17" s="1578"/>
      <c r="F17" s="585"/>
      <c r="G17" s="1229"/>
      <c r="J17" s="1255"/>
      <c r="K17" s="1201"/>
      <c r="L17" s="760"/>
      <c r="M17" s="760"/>
      <c r="N17" s="760"/>
      <c r="O17" s="760"/>
      <c r="P17" s="765"/>
      <c r="Q17" s="765"/>
      <c r="R17" s="199"/>
      <c r="AA17" s="336"/>
    </row>
    <row r="18" spans="1:27" ht="10.5" customHeight="1" thickBot="1" x14ac:dyDescent="0.25">
      <c r="A18" s="1515"/>
      <c r="B18" s="1516"/>
      <c r="C18" s="1516"/>
      <c r="D18" s="1516"/>
      <c r="E18" s="1516"/>
      <c r="F18" s="1517"/>
      <c r="J18" s="199"/>
      <c r="L18" s="760"/>
      <c r="M18" s="760"/>
      <c r="N18" s="760"/>
      <c r="O18" s="760"/>
      <c r="P18" s="765"/>
      <c r="Q18" s="765"/>
      <c r="R18" s="199"/>
    </row>
    <row r="19" spans="1:27" ht="17" thickBot="1" x14ac:dyDescent="0.25">
      <c r="A19" s="1575" t="s">
        <v>1353</v>
      </c>
      <c r="B19" s="1576"/>
      <c r="C19" s="1576"/>
      <c r="D19" s="1576"/>
      <c r="E19" s="1577"/>
      <c r="F19" s="326" t="s">
        <v>762</v>
      </c>
      <c r="J19" s="327" t="s">
        <v>34</v>
      </c>
      <c r="L19" s="760"/>
      <c r="M19" s="760"/>
      <c r="N19" s="760"/>
      <c r="O19" s="760"/>
      <c r="P19" s="765"/>
      <c r="Q19" s="765"/>
      <c r="R19" s="199"/>
    </row>
    <row r="20" spans="1:27" x14ac:dyDescent="0.2">
      <c r="A20" s="1245" t="s">
        <v>1336</v>
      </c>
      <c r="B20" s="281"/>
      <c r="C20" s="341">
        <v>6</v>
      </c>
      <c r="D20" s="1579" t="s">
        <v>1356</v>
      </c>
      <c r="E20" s="1511"/>
      <c r="F20" s="579"/>
      <c r="J20" s="342" t="str">
        <f>IF(B20=1,"Photo of at least 1 properly sealed joint","none")</f>
        <v>none</v>
      </c>
      <c r="K20" s="1207">
        <f>IF(B20=1,"[  ]",0)</f>
        <v>0</v>
      </c>
      <c r="L20" s="760"/>
      <c r="M20" s="760"/>
      <c r="N20" s="760"/>
      <c r="O20" s="760"/>
      <c r="P20" s="765"/>
      <c r="Q20" s="765"/>
      <c r="R20" s="199"/>
      <c r="AA20" s="336">
        <f>IF(K20="[  ]","[  ]",1)</f>
        <v>1</v>
      </c>
    </row>
    <row r="21" spans="1:27" x14ac:dyDescent="0.2">
      <c r="A21" s="1245" t="s">
        <v>1339</v>
      </c>
      <c r="B21" s="281"/>
      <c r="C21" s="343">
        <v>1</v>
      </c>
      <c r="D21" s="1579" t="s">
        <v>1357</v>
      </c>
      <c r="E21" s="1511"/>
      <c r="F21" s="579"/>
      <c r="G21" s="1230"/>
      <c r="J21" s="591" t="str">
        <f>IF(B21=1,"Smoke test affidavit","none")</f>
        <v>none</v>
      </c>
      <c r="K21" s="1207"/>
      <c r="L21" s="760"/>
      <c r="M21" s="760"/>
      <c r="N21" s="760"/>
      <c r="O21" s="760"/>
      <c r="P21" s="765"/>
      <c r="Q21" s="765"/>
      <c r="R21" s="199"/>
      <c r="AA21" s="336"/>
    </row>
    <row r="22" spans="1:27" x14ac:dyDescent="0.2">
      <c r="A22" s="1245" t="s">
        <v>1343</v>
      </c>
      <c r="B22" s="1250"/>
      <c r="C22" s="341">
        <v>2</v>
      </c>
      <c r="D22" s="1511" t="s">
        <v>1358</v>
      </c>
      <c r="E22" s="1511"/>
      <c r="F22" s="579"/>
      <c r="J22" s="1215" t="str">
        <f>IF(B22=1,"Photos or floor plan showing locations if windows and installed ceiling fans","none")</f>
        <v>none</v>
      </c>
      <c r="K22" s="1207">
        <f>IF(B22=1,"[  ]",0)</f>
        <v>0</v>
      </c>
      <c r="L22" s="760"/>
      <c r="M22" s="760"/>
      <c r="N22" s="760"/>
      <c r="O22" s="760"/>
      <c r="P22" s="765"/>
      <c r="Q22" s="765"/>
      <c r="R22" s="199"/>
      <c r="AA22" s="336">
        <f t="shared" ref="AA22:AA26" si="0">IF(K22="[  ]","[  ]",1)</f>
        <v>1</v>
      </c>
    </row>
    <row r="23" spans="1:27" x14ac:dyDescent="0.2">
      <c r="A23" s="1245" t="s">
        <v>1340</v>
      </c>
      <c r="B23" s="1250"/>
      <c r="C23" s="341">
        <v>2</v>
      </c>
      <c r="D23" s="1511" t="s">
        <v>1359</v>
      </c>
      <c r="E23" s="1511"/>
      <c r="F23" s="579"/>
      <c r="J23" s="1215" t="str">
        <f>IF(B23=1,"Photos or floor plan showing location of porch","none")</f>
        <v>none</v>
      </c>
      <c r="K23" s="1207">
        <f>IF(B23=1,"[  ]",0)</f>
        <v>0</v>
      </c>
      <c r="L23" s="760"/>
      <c r="M23" s="760"/>
      <c r="N23" s="760"/>
      <c r="O23" s="760"/>
      <c r="P23" s="765"/>
      <c r="Q23" s="765"/>
      <c r="R23" s="199"/>
      <c r="AA23" s="336">
        <f t="shared" si="0"/>
        <v>1</v>
      </c>
    </row>
    <row r="24" spans="1:27" x14ac:dyDescent="0.2">
      <c r="A24" s="1245" t="s">
        <v>1341</v>
      </c>
      <c r="B24" s="1250"/>
      <c r="C24" s="341">
        <v>4</v>
      </c>
      <c r="D24" s="1511" t="s">
        <v>1360</v>
      </c>
      <c r="E24" s="1511"/>
      <c r="F24" s="579"/>
      <c r="J24" s="1215" t="str">
        <f>IF(B24=1,"Details of storage system","none")</f>
        <v>none</v>
      </c>
      <c r="K24" s="1207">
        <f>IF(B24=1,"[  ]",0)</f>
        <v>0</v>
      </c>
      <c r="L24" s="760"/>
      <c r="M24" s="760"/>
      <c r="N24" s="760"/>
      <c r="O24" s="760"/>
      <c r="P24" s="765"/>
      <c r="Q24" s="765"/>
      <c r="R24" s="199"/>
      <c r="AA24" s="336">
        <f t="shared" si="0"/>
        <v>1</v>
      </c>
    </row>
    <row r="25" spans="1:27" x14ac:dyDescent="0.2">
      <c r="A25" s="1245" t="s">
        <v>1342</v>
      </c>
      <c r="B25" s="1250"/>
      <c r="C25" s="341">
        <v>2</v>
      </c>
      <c r="D25" s="1511" t="s">
        <v>1361</v>
      </c>
      <c r="E25" s="1511"/>
      <c r="F25" s="579"/>
      <c r="J25" s="1215" t="str">
        <f>IF(B25=1,"Photos or plan showing location of day-lighting features","none")</f>
        <v>none</v>
      </c>
      <c r="K25" s="1207">
        <f>IF(B25=1,"[  ]",0)</f>
        <v>0</v>
      </c>
      <c r="L25" s="760"/>
      <c r="M25" s="760"/>
      <c r="N25" s="760"/>
      <c r="O25" s="760"/>
      <c r="P25" s="765"/>
      <c r="Q25" s="765"/>
      <c r="R25" s="199"/>
      <c r="AA25" s="336">
        <f t="shared" si="0"/>
        <v>1</v>
      </c>
    </row>
    <row r="26" spans="1:27" x14ac:dyDescent="0.2">
      <c r="A26" s="1245" t="s">
        <v>1354</v>
      </c>
      <c r="B26" s="281"/>
      <c r="C26" s="341">
        <v>6</v>
      </c>
      <c r="D26" s="1511" t="s">
        <v>1362</v>
      </c>
      <c r="E26" s="1511"/>
      <c r="F26" s="579"/>
      <c r="J26" s="1215" t="str">
        <f>IF(B26=1,"Photo or site plan showing location of trees","none")</f>
        <v>none</v>
      </c>
      <c r="K26" s="1207">
        <f>IF(B26=1,"[  ]",0)</f>
        <v>0</v>
      </c>
      <c r="L26" s="760"/>
      <c r="M26" s="760"/>
      <c r="N26" s="760"/>
      <c r="O26" s="760"/>
      <c r="P26" s="765"/>
      <c r="Q26" s="765"/>
      <c r="R26" s="199"/>
      <c r="AA26" s="336">
        <f t="shared" si="0"/>
        <v>1</v>
      </c>
    </row>
    <row r="27" spans="1:27" x14ac:dyDescent="0.2">
      <c r="A27" s="1245" t="s">
        <v>1355</v>
      </c>
      <c r="B27" s="1250"/>
      <c r="C27" s="341">
        <v>2</v>
      </c>
      <c r="D27" s="1583" t="s">
        <v>1363</v>
      </c>
      <c r="E27" s="1546"/>
      <c r="F27" s="579"/>
      <c r="J27" s="1215"/>
      <c r="K27" s="1207"/>
      <c r="L27" s="760"/>
      <c r="M27" s="760"/>
      <c r="N27" s="760"/>
      <c r="O27" s="760"/>
      <c r="P27" s="765"/>
      <c r="Q27" s="765"/>
      <c r="R27" s="199"/>
      <c r="AA27" s="336"/>
    </row>
    <row r="28" spans="1:27" x14ac:dyDescent="0.2">
      <c r="A28" s="1246"/>
      <c r="B28" s="1258">
        <f>SUM(B20:B27)</f>
        <v>0</v>
      </c>
      <c r="C28" s="1578" t="s">
        <v>1376</v>
      </c>
      <c r="D28" s="1578"/>
      <c r="E28" s="1578"/>
      <c r="F28" s="1256"/>
      <c r="J28" s="1202"/>
      <c r="K28" s="1201"/>
      <c r="L28" s="760"/>
      <c r="M28" s="760"/>
      <c r="N28" s="760"/>
      <c r="O28" s="760"/>
      <c r="P28" s="765"/>
      <c r="Q28" s="765"/>
      <c r="R28" s="199"/>
      <c r="AA28" s="336"/>
    </row>
    <row r="29" spans="1:27" ht="10.5" customHeight="1" thickBot="1" x14ac:dyDescent="0.25">
      <c r="A29" s="1515"/>
      <c r="B29" s="1516"/>
      <c r="C29" s="1516"/>
      <c r="D29" s="1516"/>
      <c r="E29" s="1516"/>
      <c r="F29" s="1517"/>
      <c r="J29" s="199"/>
      <c r="L29" s="760"/>
      <c r="M29" s="760"/>
      <c r="N29" s="760"/>
      <c r="O29" s="760"/>
      <c r="P29" s="765"/>
      <c r="Q29" s="765"/>
      <c r="R29" s="199"/>
    </row>
    <row r="30" spans="1:27" ht="17" thickBot="1" x14ac:dyDescent="0.25">
      <c r="A30" s="1575" t="s">
        <v>1364</v>
      </c>
      <c r="B30" s="1576"/>
      <c r="C30" s="1576"/>
      <c r="D30" s="1576"/>
      <c r="E30" s="1577"/>
      <c r="F30" s="326" t="s">
        <v>762</v>
      </c>
      <c r="J30" s="327" t="s">
        <v>34</v>
      </c>
      <c r="L30" s="760"/>
      <c r="M30" s="760"/>
      <c r="N30" s="760"/>
      <c r="O30" s="760"/>
      <c r="P30" s="765"/>
      <c r="Q30" s="765"/>
      <c r="R30" s="199"/>
    </row>
    <row r="31" spans="1:27" x14ac:dyDescent="0.2">
      <c r="A31" s="1245" t="s">
        <v>1336</v>
      </c>
      <c r="B31" s="281"/>
      <c r="C31" s="341">
        <v>10</v>
      </c>
      <c r="D31" s="1579" t="s">
        <v>1365</v>
      </c>
      <c r="E31" s="1511"/>
      <c r="F31" s="579"/>
      <c r="J31" s="342" t="str">
        <f>IF(B31=1,"Photo of at least 1 properly sealed joint","none")</f>
        <v>none</v>
      </c>
      <c r="K31" s="1207">
        <f>IF(B31=1,"[  ]",0)</f>
        <v>0</v>
      </c>
      <c r="L31" s="760"/>
      <c r="M31" s="760"/>
      <c r="N31" s="760"/>
      <c r="O31" s="760"/>
      <c r="P31" s="765"/>
      <c r="Q31" s="765"/>
      <c r="R31" s="199"/>
      <c r="AA31" s="336">
        <f>IF(K31="[  ]","[  ]",1)</f>
        <v>1</v>
      </c>
    </row>
    <row r="32" spans="1:27" ht="64" customHeight="1" x14ac:dyDescent="0.2">
      <c r="A32" s="1252" t="s">
        <v>1339</v>
      </c>
      <c r="B32" s="281"/>
      <c r="C32" s="1234" t="s">
        <v>1366</v>
      </c>
      <c r="D32" s="1582" t="s">
        <v>1390</v>
      </c>
      <c r="E32" s="1511"/>
      <c r="F32" s="579"/>
      <c r="G32" s="1230"/>
      <c r="J32" s="591" t="str">
        <f>IF(B32=1,"Smoke test affidavit","none")</f>
        <v>none</v>
      </c>
      <c r="K32" s="1207"/>
      <c r="L32" s="760"/>
      <c r="M32" s="760"/>
      <c r="N32" s="760"/>
      <c r="O32" s="760"/>
      <c r="P32" s="765"/>
      <c r="Q32" s="765"/>
      <c r="R32" s="199"/>
      <c r="AA32" s="336"/>
    </row>
    <row r="33" spans="1:27" x14ac:dyDescent="0.2">
      <c r="A33" s="1245" t="s">
        <v>1343</v>
      </c>
      <c r="B33" s="1250"/>
      <c r="C33" s="341">
        <v>2</v>
      </c>
      <c r="D33" s="1511" t="s">
        <v>1368</v>
      </c>
      <c r="E33" s="1511"/>
      <c r="F33" s="579"/>
      <c r="J33" s="1215" t="str">
        <f>IF(B33=1,"Photos or floor plan showing locations if windows and installed ceiling fans","none")</f>
        <v>none</v>
      </c>
      <c r="K33" s="1207">
        <f>IF(B33=1,"[  ]",0)</f>
        <v>0</v>
      </c>
      <c r="L33" s="760"/>
      <c r="M33" s="760"/>
      <c r="N33" s="760"/>
      <c r="O33" s="760"/>
      <c r="P33" s="765"/>
      <c r="Q33" s="765"/>
      <c r="R33" s="199"/>
      <c r="AA33" s="336">
        <f t="shared" ref="AA33:AA36" si="1">IF(K33="[  ]","[  ]",1)</f>
        <v>1</v>
      </c>
    </row>
    <row r="34" spans="1:27" x14ac:dyDescent="0.2">
      <c r="A34" s="1245" t="s">
        <v>1340</v>
      </c>
      <c r="B34" s="281"/>
      <c r="C34" s="341">
        <v>1</v>
      </c>
      <c r="D34" s="1511" t="s">
        <v>1369</v>
      </c>
      <c r="E34" s="1511"/>
      <c r="F34" s="579"/>
      <c r="J34" s="1215" t="str">
        <f>IF(B34=1,"Photos or floor plan showing location of porch","none")</f>
        <v>none</v>
      </c>
      <c r="K34" s="1207">
        <f>IF(B34=1,"[  ]",0)</f>
        <v>0</v>
      </c>
      <c r="L34" s="760"/>
      <c r="M34" s="760"/>
      <c r="N34" s="760"/>
      <c r="O34" s="760"/>
      <c r="P34" s="765"/>
      <c r="Q34" s="765"/>
      <c r="R34" s="199"/>
      <c r="AA34" s="336">
        <f t="shared" si="1"/>
        <v>1</v>
      </c>
    </row>
    <row r="35" spans="1:27" x14ac:dyDescent="0.2">
      <c r="A35" s="1245" t="s">
        <v>1341</v>
      </c>
      <c r="B35" s="281"/>
      <c r="C35" s="341">
        <v>1</v>
      </c>
      <c r="D35" s="1511" t="s">
        <v>1370</v>
      </c>
      <c r="E35" s="1511"/>
      <c r="F35" s="579"/>
      <c r="J35" s="1215" t="str">
        <f>IF(B35=1,"Details of storage system","none")</f>
        <v>none</v>
      </c>
      <c r="K35" s="1207">
        <f>IF(B35=1,"[  ]",0)</f>
        <v>0</v>
      </c>
      <c r="L35" s="760"/>
      <c r="M35" s="760"/>
      <c r="N35" s="760"/>
      <c r="O35" s="760"/>
      <c r="P35" s="765"/>
      <c r="Q35" s="765"/>
      <c r="R35" s="199"/>
      <c r="AA35" s="336">
        <f t="shared" si="1"/>
        <v>1</v>
      </c>
    </row>
    <row r="36" spans="1:27" x14ac:dyDescent="0.2">
      <c r="A36" s="1245" t="s">
        <v>1342</v>
      </c>
      <c r="B36" s="1250"/>
      <c r="C36" s="341">
        <v>4</v>
      </c>
      <c r="D36" s="1511" t="s">
        <v>1371</v>
      </c>
      <c r="E36" s="1511"/>
      <c r="F36" s="579"/>
      <c r="J36" s="1215" t="str">
        <f>IF(B36=1,"Photos or plan showing location of day-lighting features","none")</f>
        <v>none</v>
      </c>
      <c r="K36" s="1207">
        <f>IF(B36=1,"[  ]",0)</f>
        <v>0</v>
      </c>
      <c r="L36" s="760"/>
      <c r="M36" s="760"/>
      <c r="N36" s="760"/>
      <c r="O36" s="760"/>
      <c r="P36" s="765"/>
      <c r="Q36" s="765"/>
      <c r="R36" s="199"/>
      <c r="AA36" s="336">
        <f t="shared" si="1"/>
        <v>1</v>
      </c>
    </row>
    <row r="37" spans="1:27" x14ac:dyDescent="0.2">
      <c r="A37" s="1246"/>
      <c r="B37" s="1257">
        <f>SUM(B31:B36)</f>
        <v>0</v>
      </c>
      <c r="C37" s="1578" t="s">
        <v>1377</v>
      </c>
      <c r="D37" s="1578"/>
      <c r="E37" s="1578"/>
      <c r="F37" s="579"/>
      <c r="J37" s="1202"/>
      <c r="K37" s="1201"/>
      <c r="L37" s="760"/>
      <c r="M37" s="760"/>
      <c r="N37" s="760"/>
      <c r="O37" s="760"/>
      <c r="P37" s="765"/>
      <c r="Q37" s="765"/>
      <c r="R37" s="199"/>
      <c r="AA37" s="336"/>
    </row>
    <row r="38" spans="1:27" s="360" customFormat="1" ht="16" x14ac:dyDescent="0.2">
      <c r="A38" s="1556"/>
      <c r="B38" s="1259"/>
      <c r="C38" s="355">
        <v>57</v>
      </c>
      <c r="D38" s="356" t="s">
        <v>944</v>
      </c>
      <c r="E38" s="356"/>
      <c r="F38" s="1551"/>
      <c r="G38" s="1231"/>
      <c r="H38" s="1170"/>
      <c r="I38" s="357"/>
      <c r="J38" s="358"/>
      <c r="K38" s="358"/>
      <c r="L38" s="358"/>
      <c r="M38" s="358"/>
      <c r="N38" s="358"/>
      <c r="O38" s="358"/>
      <c r="P38" s="359"/>
      <c r="Q38" s="359"/>
      <c r="AA38" s="361"/>
    </row>
    <row r="39" spans="1:27" ht="10.5" customHeight="1" x14ac:dyDescent="0.2">
      <c r="A39" s="1556"/>
      <c r="B39" s="1581"/>
      <c r="C39" s="1516"/>
      <c r="D39" s="1516"/>
      <c r="E39" s="1559"/>
      <c r="F39" s="1551"/>
      <c r="I39" s="18"/>
      <c r="J39" s="18"/>
      <c r="K39" s="18"/>
      <c r="L39" s="18"/>
      <c r="M39" s="18"/>
      <c r="N39" s="18"/>
      <c r="O39" s="18"/>
    </row>
    <row r="40" spans="1:27" ht="19" x14ac:dyDescent="0.25">
      <c r="A40" s="1557"/>
      <c r="B40" s="276">
        <f>B37+B28+B17+B13</f>
        <v>0</v>
      </c>
      <c r="C40" s="1547" t="s">
        <v>1391</v>
      </c>
      <c r="D40" s="1548"/>
      <c r="E40" s="1549"/>
      <c r="F40" s="1551"/>
      <c r="G40" s="126"/>
      <c r="H40" s="731"/>
      <c r="I40" s="362"/>
      <c r="J40" s="18"/>
      <c r="K40" s="18"/>
      <c r="L40" s="18"/>
      <c r="M40" s="18"/>
      <c r="N40" s="18"/>
      <c r="O40" s="18"/>
    </row>
    <row r="41" spans="1:27" ht="10.5" customHeight="1" x14ac:dyDescent="0.2">
      <c r="A41" s="1553"/>
      <c r="B41" s="1554"/>
      <c r="C41" s="1554"/>
      <c r="D41" s="1554"/>
      <c r="E41" s="1554"/>
      <c r="F41" s="1551"/>
      <c r="I41" s="18"/>
      <c r="J41" s="18"/>
      <c r="K41" s="18"/>
      <c r="L41" s="18"/>
      <c r="M41" s="18"/>
      <c r="N41" s="18"/>
      <c r="O41" s="18"/>
    </row>
    <row r="42" spans="1:27" x14ac:dyDescent="0.2">
      <c r="A42" s="1560" t="s">
        <v>64</v>
      </c>
      <c r="B42" s="1561"/>
      <c r="C42" s="1561"/>
      <c r="D42" s="1562"/>
      <c r="E42" s="287"/>
      <c r="F42" s="1551"/>
      <c r="G42" s="59"/>
      <c r="H42" s="484"/>
      <c r="I42" s="760"/>
      <c r="J42" s="896"/>
      <c r="K42" s="18"/>
      <c r="L42" s="18"/>
      <c r="M42" s="18"/>
      <c r="N42" s="18"/>
      <c r="O42" s="18"/>
    </row>
    <row r="43" spans="1:27" ht="14" customHeight="1" thickBot="1" x14ac:dyDescent="0.25">
      <c r="A43" s="1563" t="s">
        <v>65</v>
      </c>
      <c r="B43" s="1564"/>
      <c r="C43" s="1564"/>
      <c r="D43" s="1565"/>
      <c r="E43" s="1222"/>
      <c r="F43" s="1552"/>
      <c r="G43" s="59"/>
      <c r="H43" s="484"/>
      <c r="I43" s="760"/>
      <c r="J43" s="18"/>
      <c r="K43" s="18"/>
      <c r="L43" s="18"/>
      <c r="M43" s="18"/>
      <c r="N43" s="18"/>
      <c r="O43" s="18"/>
    </row>
    <row r="44" spans="1:27" x14ac:dyDescent="0.2">
      <c r="F44" s="660"/>
      <c r="G44" s="1201"/>
      <c r="H44" s="385"/>
      <c r="I44" s="385"/>
      <c r="J44" s="18"/>
      <c r="K44" s="18"/>
      <c r="L44" s="18"/>
      <c r="M44" s="18"/>
      <c r="N44" s="18"/>
      <c r="O44" s="18"/>
    </row>
    <row r="45" spans="1:27" x14ac:dyDescent="0.2">
      <c r="F45" s="462"/>
      <c r="G45" s="1201"/>
      <c r="H45" s="488" t="e">
        <f>(#REF!/(SQRT(#REF!*#REF!)))</f>
        <v>#REF!</v>
      </c>
      <c r="I45" s="488"/>
      <c r="J45" s="18"/>
      <c r="K45" s="18"/>
      <c r="L45" s="18"/>
      <c r="M45" s="18"/>
      <c r="N45" s="18"/>
      <c r="O45" s="18"/>
    </row>
    <row r="46" spans="1:27" x14ac:dyDescent="0.2">
      <c r="F46" s="462"/>
      <c r="G46" s="1201"/>
      <c r="H46" s="488" t="e">
        <f>IF(AND(H45&lt;43,H45&gt;0),1,0)</f>
        <v>#REF!</v>
      </c>
      <c r="I46" s="488"/>
      <c r="J46" s="18"/>
      <c r="K46" s="18"/>
      <c r="L46" s="18"/>
      <c r="M46" s="18"/>
      <c r="N46" s="18"/>
      <c r="O46" s="18"/>
    </row>
    <row r="47" spans="1:27" x14ac:dyDescent="0.2">
      <c r="E47" s="414"/>
      <c r="F47" s="619"/>
      <c r="G47" s="1201"/>
      <c r="H47" s="488"/>
      <c r="I47" s="488"/>
      <c r="J47" s="18"/>
      <c r="K47" s="18"/>
      <c r="L47" s="18"/>
      <c r="M47" s="18"/>
      <c r="N47" s="18"/>
      <c r="O47" s="18"/>
    </row>
    <row r="48" spans="1:27" x14ac:dyDescent="0.2">
      <c r="E48" s="659"/>
      <c r="F48" s="729"/>
      <c r="G48" s="1201"/>
      <c r="H48" s="488"/>
      <c r="I48" s="488"/>
      <c r="J48" s="18"/>
      <c r="K48" s="18"/>
      <c r="L48" s="18"/>
      <c r="M48" s="18"/>
      <c r="N48" s="18"/>
      <c r="O48" s="18"/>
    </row>
    <row r="49" spans="3:15" x14ac:dyDescent="0.2">
      <c r="E49" s="659"/>
      <c r="F49" s="729"/>
      <c r="G49" s="1201"/>
      <c r="H49" s="385"/>
      <c r="I49" s="385"/>
      <c r="J49" s="18"/>
      <c r="K49" s="18"/>
      <c r="L49" s="18"/>
      <c r="M49" s="18"/>
      <c r="N49" s="18"/>
      <c r="O49" s="18"/>
    </row>
    <row r="50" spans="3:15" x14ac:dyDescent="0.2">
      <c r="E50" s="659"/>
      <c r="F50" s="729"/>
      <c r="G50" s="1201"/>
      <c r="H50" s="385"/>
      <c r="I50" s="385"/>
      <c r="J50" s="18"/>
      <c r="K50" s="18"/>
      <c r="L50" s="18"/>
      <c r="M50" s="18"/>
      <c r="N50" s="18"/>
      <c r="O50" s="18"/>
    </row>
    <row r="51" spans="3:15" x14ac:dyDescent="0.2">
      <c r="E51" s="659"/>
      <c r="F51" s="729"/>
      <c r="G51" s="1201"/>
      <c r="H51" s="385"/>
      <c r="I51" s="385"/>
      <c r="J51" s="18"/>
      <c r="K51" s="18"/>
      <c r="L51" s="18"/>
      <c r="M51" s="18"/>
      <c r="N51" s="18"/>
      <c r="O51" s="18"/>
    </row>
    <row r="52" spans="3:15" x14ac:dyDescent="0.2">
      <c r="E52" s="659"/>
      <c r="F52" s="729"/>
      <c r="G52" s="1218"/>
      <c r="H52" s="385"/>
      <c r="I52" s="385"/>
      <c r="J52" s="18"/>
      <c r="K52" s="18"/>
      <c r="L52" s="18"/>
      <c r="M52" s="18"/>
      <c r="N52" s="18"/>
      <c r="O52" s="18"/>
    </row>
    <row r="53" spans="3:15" x14ac:dyDescent="0.2">
      <c r="E53" s="659"/>
      <c r="F53" s="729"/>
      <c r="G53" s="1208" t="s">
        <v>7</v>
      </c>
      <c r="H53" s="385"/>
      <c r="I53" s="385"/>
      <c r="J53" s="18"/>
      <c r="K53" s="18"/>
      <c r="L53" s="18"/>
      <c r="M53" s="18"/>
      <c r="N53" s="18"/>
      <c r="O53" s="18"/>
    </row>
    <row r="54" spans="3:15" x14ac:dyDescent="0.2">
      <c r="E54" s="659"/>
      <c r="F54" s="729"/>
      <c r="G54" s="1253" t="s">
        <v>75</v>
      </c>
      <c r="H54" s="385"/>
      <c r="I54" s="385"/>
    </row>
    <row r="55" spans="3:15" x14ac:dyDescent="0.2">
      <c r="E55" s="659"/>
      <c r="F55" s="729"/>
      <c r="G55" s="1253" t="s">
        <v>495</v>
      </c>
      <c r="H55" s="385"/>
      <c r="I55" s="385"/>
    </row>
    <row r="56" spans="3:15" x14ac:dyDescent="0.2">
      <c r="E56" s="659"/>
      <c r="F56" s="729"/>
      <c r="G56" s="1254">
        <v>1</v>
      </c>
      <c r="H56" s="385"/>
      <c r="I56" s="385"/>
    </row>
    <row r="57" spans="3:15" x14ac:dyDescent="0.2">
      <c r="F57" s="462"/>
      <c r="G57" s="1201"/>
      <c r="H57" s="385"/>
      <c r="I57" s="385"/>
    </row>
    <row r="58" spans="3:15" x14ac:dyDescent="0.2">
      <c r="G58" s="1218"/>
      <c r="H58" s="385"/>
      <c r="I58" s="385"/>
    </row>
    <row r="59" spans="3:15" x14ac:dyDescent="0.2">
      <c r="E59" s="391">
        <f>'1. Instructions'!A5:E5</f>
        <v>0</v>
      </c>
      <c r="G59" s="1208" t="s">
        <v>7</v>
      </c>
      <c r="H59" s="385"/>
      <c r="I59" s="385"/>
    </row>
    <row r="60" spans="3:15" x14ac:dyDescent="0.2">
      <c r="G60" s="1253" t="s">
        <v>75</v>
      </c>
      <c r="H60" s="385"/>
      <c r="I60" s="385"/>
    </row>
    <row r="61" spans="3:15" x14ac:dyDescent="0.2">
      <c r="C61" s="462"/>
      <c r="G61" s="1253" t="s">
        <v>495</v>
      </c>
      <c r="H61" s="385"/>
      <c r="I61" s="385"/>
    </row>
    <row r="62" spans="3:15" x14ac:dyDescent="0.2">
      <c r="G62" s="1254">
        <v>2</v>
      </c>
      <c r="H62" s="385"/>
      <c r="I62" s="385"/>
    </row>
    <row r="63" spans="3:15" x14ac:dyDescent="0.2">
      <c r="G63" s="1201"/>
      <c r="H63" s="385"/>
      <c r="I63" s="385"/>
    </row>
    <row r="64" spans="3:15" x14ac:dyDescent="0.2">
      <c r="G64" s="1218"/>
      <c r="H64" s="385"/>
      <c r="I64" s="385"/>
    </row>
    <row r="65" spans="7:9" x14ac:dyDescent="0.2">
      <c r="G65" s="1208" t="s">
        <v>7</v>
      </c>
      <c r="H65" s="385"/>
      <c r="I65" s="385"/>
    </row>
    <row r="66" spans="7:9" x14ac:dyDescent="0.2">
      <c r="G66" s="1253" t="s">
        <v>75</v>
      </c>
      <c r="H66" s="385"/>
      <c r="I66" s="385"/>
    </row>
    <row r="67" spans="7:9" x14ac:dyDescent="0.2">
      <c r="G67" s="1253" t="s">
        <v>495</v>
      </c>
      <c r="H67" s="385"/>
      <c r="I67" s="385"/>
    </row>
    <row r="68" spans="7:9" x14ac:dyDescent="0.2">
      <c r="G68" s="1254">
        <v>3</v>
      </c>
      <c r="H68" s="385"/>
      <c r="I68" s="385"/>
    </row>
    <row r="69" spans="7:9" x14ac:dyDescent="0.2">
      <c r="G69" s="1201"/>
      <c r="H69" s="385"/>
      <c r="I69" s="385"/>
    </row>
    <row r="70" spans="7:9" x14ac:dyDescent="0.2">
      <c r="G70" s="1218"/>
      <c r="H70" s="385"/>
      <c r="I70" s="385"/>
    </row>
    <row r="71" spans="7:9" x14ac:dyDescent="0.2">
      <c r="G71" s="1208" t="s">
        <v>7</v>
      </c>
      <c r="H71" s="385"/>
      <c r="I71" s="385"/>
    </row>
    <row r="72" spans="7:9" x14ac:dyDescent="0.2">
      <c r="G72" s="1253" t="s">
        <v>75</v>
      </c>
      <c r="H72" s="385"/>
      <c r="I72" s="385"/>
    </row>
    <row r="73" spans="7:9" x14ac:dyDescent="0.2">
      <c r="G73" s="1253" t="s">
        <v>495</v>
      </c>
      <c r="H73" s="385"/>
      <c r="I73" s="385"/>
    </row>
    <row r="74" spans="7:9" x14ac:dyDescent="0.2">
      <c r="G74" s="1254">
        <v>4</v>
      </c>
      <c r="H74" s="385"/>
      <c r="I74" s="385"/>
    </row>
    <row r="75" spans="7:9" x14ac:dyDescent="0.2">
      <c r="G75" s="1201"/>
      <c r="H75" s="385"/>
      <c r="I75" s="385"/>
    </row>
    <row r="76" spans="7:9" x14ac:dyDescent="0.2">
      <c r="G76" s="1218"/>
      <c r="H76" s="385"/>
      <c r="I76" s="385"/>
    </row>
    <row r="77" spans="7:9" x14ac:dyDescent="0.2">
      <c r="G77" s="1208" t="s">
        <v>7</v>
      </c>
      <c r="H77" s="385"/>
      <c r="I77" s="385"/>
    </row>
    <row r="78" spans="7:9" x14ac:dyDescent="0.2">
      <c r="G78" s="1253" t="s">
        <v>75</v>
      </c>
      <c r="H78" s="385"/>
      <c r="I78" s="385"/>
    </row>
    <row r="79" spans="7:9" x14ac:dyDescent="0.2">
      <c r="G79" s="1253" t="s">
        <v>495</v>
      </c>
    </row>
    <row r="80" spans="7:9" x14ac:dyDescent="0.2">
      <c r="G80" s="1254">
        <v>6</v>
      </c>
    </row>
    <row r="82" spans="1:29" x14ac:dyDescent="0.2">
      <c r="G82" s="1218"/>
    </row>
    <row r="83" spans="1:29" x14ac:dyDescent="0.2">
      <c r="G83" s="1208" t="s">
        <v>7</v>
      </c>
    </row>
    <row r="84" spans="1:29" x14ac:dyDescent="0.2">
      <c r="G84" s="1253" t="s">
        <v>75</v>
      </c>
    </row>
    <row r="85" spans="1:29" x14ac:dyDescent="0.2">
      <c r="G85" s="1253" t="s">
        <v>495</v>
      </c>
    </row>
    <row r="86" spans="1:29" x14ac:dyDescent="0.2">
      <c r="G86" s="1254">
        <v>10</v>
      </c>
    </row>
    <row r="88" spans="1:29" s="391" customFormat="1" x14ac:dyDescent="0.2">
      <c r="A88" s="94"/>
      <c r="B88" s="94"/>
      <c r="C88" s="94"/>
      <c r="D88" s="94"/>
      <c r="E88" s="94"/>
      <c r="F88" s="94"/>
      <c r="G88" s="1218"/>
      <c r="I88" s="94"/>
      <c r="J88" s="94"/>
      <c r="K88" s="94"/>
      <c r="L88" s="94"/>
      <c r="M88" s="94"/>
      <c r="N88" s="94"/>
      <c r="O88" s="94"/>
      <c r="P88" s="94"/>
      <c r="Q88" s="94"/>
      <c r="R88" s="94"/>
      <c r="S88" s="94"/>
      <c r="T88" s="94"/>
      <c r="U88" s="94"/>
      <c r="V88" s="94"/>
      <c r="W88" s="94"/>
      <c r="X88" s="94"/>
      <c r="Y88" s="94"/>
      <c r="Z88" s="94"/>
      <c r="AA88" s="323"/>
      <c r="AB88" s="94"/>
      <c r="AC88" s="94"/>
    </row>
    <row r="89" spans="1:29" x14ac:dyDescent="0.2">
      <c r="G89" s="1208" t="s">
        <v>7</v>
      </c>
    </row>
    <row r="90" spans="1:29" x14ac:dyDescent="0.2">
      <c r="G90" s="1253" t="s">
        <v>75</v>
      </c>
    </row>
    <row r="91" spans="1:29" x14ac:dyDescent="0.2">
      <c r="G91" s="1253" t="s">
        <v>495</v>
      </c>
    </row>
    <row r="92" spans="1:29" x14ac:dyDescent="0.2">
      <c r="G92" s="1254">
        <v>12</v>
      </c>
    </row>
    <row r="94" spans="1:29" x14ac:dyDescent="0.2">
      <c r="G94" s="1218"/>
    </row>
    <row r="95" spans="1:29" x14ac:dyDescent="0.2">
      <c r="G95" s="1208" t="s">
        <v>7</v>
      </c>
    </row>
    <row r="96" spans="1:29" x14ac:dyDescent="0.2">
      <c r="G96" s="1253" t="s">
        <v>75</v>
      </c>
    </row>
    <row r="97" spans="7:7" x14ac:dyDescent="0.2">
      <c r="G97" s="1253" t="s">
        <v>495</v>
      </c>
    </row>
    <row r="98" spans="7:7" x14ac:dyDescent="0.2">
      <c r="G98" s="1254">
        <v>16</v>
      </c>
    </row>
    <row r="100" spans="7:7" x14ac:dyDescent="0.2">
      <c r="G100" s="1218"/>
    </row>
    <row r="101" spans="7:7" x14ac:dyDescent="0.2">
      <c r="G101" s="1208" t="s">
        <v>7</v>
      </c>
    </row>
    <row r="102" spans="7:7" x14ac:dyDescent="0.2">
      <c r="G102" s="1253" t="s">
        <v>75</v>
      </c>
    </row>
    <row r="103" spans="7:7" x14ac:dyDescent="0.2">
      <c r="G103" s="1253" t="s">
        <v>495</v>
      </c>
    </row>
    <row r="104" spans="7:7" x14ac:dyDescent="0.2">
      <c r="G104" s="1253">
        <v>6</v>
      </c>
    </row>
    <row r="105" spans="7:7" x14ac:dyDescent="0.2">
      <c r="G105" s="1254">
        <v>8</v>
      </c>
    </row>
    <row r="107" spans="7:7" x14ac:dyDescent="0.2">
      <c r="G107" s="1218"/>
    </row>
    <row r="108" spans="7:7" x14ac:dyDescent="0.2">
      <c r="G108" s="1208" t="s">
        <v>7</v>
      </c>
    </row>
    <row r="109" spans="7:7" x14ac:dyDescent="0.2">
      <c r="G109" s="1253" t="s">
        <v>75</v>
      </c>
    </row>
    <row r="110" spans="7:7" x14ac:dyDescent="0.2">
      <c r="G110" s="1253" t="s">
        <v>495</v>
      </c>
    </row>
    <row r="111" spans="7:7" x14ac:dyDescent="0.2">
      <c r="G111" s="1253">
        <v>8</v>
      </c>
    </row>
    <row r="112" spans="7:7" x14ac:dyDescent="0.2">
      <c r="G112" s="1254">
        <v>10</v>
      </c>
    </row>
  </sheetData>
  <sheetProtection algorithmName="SHA-512" hashValue="a0kQm0R7hKxIfsXzljLxsx0YuUlkwfbHBdKC+wduGH9Ak7GPsGbLUKY5ywhxiLKSX4LfV/6ItOrAb1Dxc5KUwA==" saltValue="ea2J2TL1RrYeUUjfXHQ2QA==" spinCount="100000" sheet="1" insertHyperlinks="0" selectLockedCells="1"/>
  <mergeCells count="43">
    <mergeCell ref="A15:E15"/>
    <mergeCell ref="C17:E17"/>
    <mergeCell ref="C28:E28"/>
    <mergeCell ref="C37:E37"/>
    <mergeCell ref="D32:E32"/>
    <mergeCell ref="D33:E33"/>
    <mergeCell ref="D34:E34"/>
    <mergeCell ref="D35:E35"/>
    <mergeCell ref="D36:E36"/>
    <mergeCell ref="D25:E25"/>
    <mergeCell ref="D26:E26"/>
    <mergeCell ref="D27:E27"/>
    <mergeCell ref="A29:F29"/>
    <mergeCell ref="A30:E30"/>
    <mergeCell ref="D31:E31"/>
    <mergeCell ref="D20:E20"/>
    <mergeCell ref="A38:A40"/>
    <mergeCell ref="F38:F43"/>
    <mergeCell ref="B39:E39"/>
    <mergeCell ref="C40:E40"/>
    <mergeCell ref="A41:E41"/>
    <mergeCell ref="A42:D42"/>
    <mergeCell ref="A43:D43"/>
    <mergeCell ref="D21:E21"/>
    <mergeCell ref="D22:E22"/>
    <mergeCell ref="D23:E23"/>
    <mergeCell ref="D24:E24"/>
    <mergeCell ref="D16:E16"/>
    <mergeCell ref="A18:F18"/>
    <mergeCell ref="A19:E19"/>
    <mergeCell ref="A1:F1"/>
    <mergeCell ref="D3:F3"/>
    <mergeCell ref="D7:E7"/>
    <mergeCell ref="A14:F14"/>
    <mergeCell ref="A2:F2"/>
    <mergeCell ref="A5:E5"/>
    <mergeCell ref="D8:E8"/>
    <mergeCell ref="D9:E9"/>
    <mergeCell ref="D10:E10"/>
    <mergeCell ref="D11:E11"/>
    <mergeCell ref="D12:E12"/>
    <mergeCell ref="A6:E6"/>
    <mergeCell ref="C13:E13"/>
  </mergeCells>
  <conditionalFormatting sqref="K7:K13 K16:K17 K20:K21">
    <cfRule type="cellIs" dxfId="145" priority="7" stopIfTrue="1" operator="greaterThan">
      <formula>0</formula>
    </cfRule>
  </conditionalFormatting>
  <conditionalFormatting sqref="K22">
    <cfRule type="cellIs" dxfId="144" priority="9" stopIfTrue="1" operator="equal">
      <formula>$AA$22</formula>
    </cfRule>
  </conditionalFormatting>
  <conditionalFormatting sqref="K23">
    <cfRule type="cellIs" dxfId="143" priority="10" stopIfTrue="1" operator="equal">
      <formula>$AA$23</formula>
    </cfRule>
  </conditionalFormatting>
  <conditionalFormatting sqref="K24">
    <cfRule type="cellIs" dxfId="142" priority="11" stopIfTrue="1" operator="equal">
      <formula>$AA$24</formula>
    </cfRule>
  </conditionalFormatting>
  <conditionalFormatting sqref="K25">
    <cfRule type="cellIs" dxfId="141" priority="12" stopIfTrue="1" operator="equal">
      <formula>$AA$25</formula>
    </cfRule>
  </conditionalFormatting>
  <conditionalFormatting sqref="K26:K28">
    <cfRule type="cellIs" dxfId="140" priority="13" stopIfTrue="1" operator="equal">
      <formula>$AA$26</formula>
    </cfRule>
  </conditionalFormatting>
  <conditionalFormatting sqref="K31:K32">
    <cfRule type="cellIs" dxfId="139" priority="1" stopIfTrue="1" operator="greaterThan">
      <formula>0</formula>
    </cfRule>
  </conditionalFormatting>
  <conditionalFormatting sqref="K33">
    <cfRule type="cellIs" dxfId="138" priority="2" stopIfTrue="1" operator="equal">
      <formula>$AA$22</formula>
    </cfRule>
  </conditionalFormatting>
  <conditionalFormatting sqref="K34">
    <cfRule type="cellIs" dxfId="137" priority="3" stopIfTrue="1" operator="equal">
      <formula>$AA$23</formula>
    </cfRule>
  </conditionalFormatting>
  <conditionalFormatting sqref="K35">
    <cfRule type="cellIs" dxfId="136" priority="4" stopIfTrue="1" operator="equal">
      <formula>$AA$24</formula>
    </cfRule>
  </conditionalFormatting>
  <conditionalFormatting sqref="K36:K37">
    <cfRule type="cellIs" dxfId="135" priority="5" stopIfTrue="1" operator="equal">
      <formula>$AA$25</formula>
    </cfRule>
  </conditionalFormatting>
  <dataValidations count="10">
    <dataValidation type="list" allowBlank="1" showInputMessage="1" showErrorMessage="1" sqref="B7 B10 B24 B36" xr:uid="{6F792D75-97DB-B64B-9731-CB9924B4E7C7}">
      <formula1>$G$70:$G$74</formula1>
    </dataValidation>
    <dataValidation type="list" allowBlank="1" showInputMessage="1" showErrorMessage="1" sqref="B8 B22:B23 B33 B27 B25" xr:uid="{B8B1F610-A8BE-4940-B45E-B49E1510F071}">
      <formula1>$G$58:$G$62</formula1>
    </dataValidation>
    <dataValidation type="list" allowBlank="1" showInputMessage="1" showErrorMessage="1" sqref="B9" xr:uid="{5A53F4DB-2F1B-664E-8461-1CACA6D4696C}">
      <formula1>$G$64:$G$68</formula1>
    </dataValidation>
    <dataValidation type="list" allowBlank="1" showInputMessage="1" showErrorMessage="1" sqref="B11" xr:uid="{2D9D3169-7A5B-804A-866D-470896BCEA18}">
      <formula1>$G$94:$G$98</formula1>
    </dataValidation>
    <dataValidation type="list" allowBlank="1" showInputMessage="1" showErrorMessage="1" sqref="B12" xr:uid="{FB34AD37-D41F-6D4B-AE82-09FA08483675}">
      <formula1>$G$88:$G$92</formula1>
    </dataValidation>
    <dataValidation type="list" allowBlank="1" showInputMessage="1" showErrorMessage="1" sqref="B16" xr:uid="{863CE175-9C3B-BB40-9EE0-A054658BB2DE}">
      <formula1>$G$100:$G$105</formula1>
    </dataValidation>
    <dataValidation type="list" allowBlank="1" showInputMessage="1" showErrorMessage="1" sqref="B20 B26" xr:uid="{04A4BB9A-A404-814F-BDDB-410C3EB2EEE1}">
      <formula1>$G$76:$G$80</formula1>
    </dataValidation>
    <dataValidation type="list" allowBlank="1" showInputMessage="1" showErrorMessage="1" sqref="B21 B34:B35" xr:uid="{93E3947C-21DD-5D48-8944-D9C138FB1718}">
      <formula1>$G$52:$G$56</formula1>
    </dataValidation>
    <dataValidation type="list" allowBlank="1" showInputMessage="1" showErrorMessage="1" sqref="B31" xr:uid="{24299A95-E93B-5344-AAD4-8E5946D9EAE5}">
      <formula1>$G$82:$G$86</formula1>
    </dataValidation>
    <dataValidation type="list" allowBlank="1" showInputMessage="1" showErrorMessage="1" sqref="B32" xr:uid="{D29A6FF2-B87A-5D47-86D1-421D3ABCF2CC}">
      <formula1>$G$107:$G$112</formula1>
    </dataValidation>
  </dataValidations>
  <pageMargins left="0.25" right="0.25" top="0.5" bottom="1" header="0.3" footer="0.3"/>
  <pageSetup scale="91" fitToHeight="2" orientation="landscape" cellComments="asDisplayed" r:id="rId1"/>
  <headerFooter>
    <oddFooter>&amp;C&amp;G&amp;R&amp;P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20</vt:i4>
      </vt:variant>
      <vt:variant>
        <vt:lpstr>Charts</vt:lpstr>
      </vt:variant>
      <vt:variant>
        <vt:i4>2</vt:i4>
      </vt:variant>
      <vt:variant>
        <vt:lpstr>Named Ranges</vt:lpstr>
      </vt:variant>
      <vt:variant>
        <vt:i4>38</vt:i4>
      </vt:variant>
    </vt:vector>
  </HeadingPairs>
  <TitlesOfParts>
    <vt:vector size="60" baseType="lpstr">
      <vt:lpstr>1. Instructions</vt:lpstr>
      <vt:lpstr>2. Registration</vt:lpstr>
      <vt:lpstr>Final Form</vt:lpstr>
      <vt:lpstr>Progress JL</vt:lpstr>
      <vt:lpstr>3. Application</vt:lpstr>
      <vt:lpstr>4. SUMMARY</vt:lpstr>
      <vt:lpstr>6. Pre-requisites</vt:lpstr>
      <vt:lpstr>7. Energy</vt:lpstr>
      <vt:lpstr>E1.01b Multi-Fam Energy Option</vt:lpstr>
      <vt:lpstr>8. Water</vt:lpstr>
      <vt:lpstr>9. Lot Choice</vt:lpstr>
      <vt:lpstr>10. Site</vt:lpstr>
      <vt:lpstr>11. Health</vt:lpstr>
      <vt:lpstr>12. Materials</vt:lpstr>
      <vt:lpstr>13. Disaster Mitigation</vt:lpstr>
      <vt:lpstr>14. General</vt:lpstr>
      <vt:lpstr>15. Existing Home Application</vt:lpstr>
      <vt:lpstr>16. Existing Home SUM</vt:lpstr>
      <vt:lpstr>4. Existing Home SUMMARY</vt:lpstr>
      <vt:lpstr>18. Multi-Family Application</vt:lpstr>
      <vt:lpstr>5. Summary Bar Chart</vt:lpstr>
      <vt:lpstr>17. Existing Home Bar Chart</vt:lpstr>
      <vt:lpstr>alllavsink</vt:lpstr>
      <vt:lpstr>CA_Num</vt:lpstr>
      <vt:lpstr>ddoneandtwo</vt:lpstr>
      <vt:lpstr>DM6.01</vt:lpstr>
      <vt:lpstr>dropdownonematerials</vt:lpstr>
      <vt:lpstr>dropdowntwodisaster</vt:lpstr>
      <vt:lpstr>EShome</vt:lpstr>
      <vt:lpstr>FGBC_Street</vt:lpstr>
      <vt:lpstr>GFGBC_City</vt:lpstr>
      <vt:lpstr>Instructions</vt:lpstr>
      <vt:lpstr>NoSprinkSys</vt:lpstr>
      <vt:lpstr>Plant2ft</vt:lpstr>
      <vt:lpstr>PreApplication</vt:lpstr>
      <vt:lpstr>Prerequisites</vt:lpstr>
      <vt:lpstr>'1. Instructions'!Print_Area</vt:lpstr>
      <vt:lpstr>'10. Site'!Print_Area</vt:lpstr>
      <vt:lpstr>'11. Health'!Print_Area</vt:lpstr>
      <vt:lpstr>'12. Materials'!Print_Area</vt:lpstr>
      <vt:lpstr>'13. Disaster Mitigation'!Print_Area</vt:lpstr>
      <vt:lpstr>'14. General'!Print_Area</vt:lpstr>
      <vt:lpstr>'15. Existing Home Application'!Print_Area</vt:lpstr>
      <vt:lpstr>'16. Existing Home SUM'!Print_Area</vt:lpstr>
      <vt:lpstr>'18. Multi-Family Application'!Print_Area</vt:lpstr>
      <vt:lpstr>'3. Application'!Print_Area</vt:lpstr>
      <vt:lpstr>'4. Existing Home SUMMARY'!Print_Area</vt:lpstr>
      <vt:lpstr>'4. SUMMARY'!Print_Area</vt:lpstr>
      <vt:lpstr>'7. Energy'!Print_Area</vt:lpstr>
      <vt:lpstr>'8. Water'!Print_Area</vt:lpstr>
      <vt:lpstr>'9. Lot Choice'!Print_Area</vt:lpstr>
      <vt:lpstr>'E1.01b Multi-Fam Energy Option'!Print_Area</vt:lpstr>
      <vt:lpstr>'Final Form'!Print_Area</vt:lpstr>
      <vt:lpstr>question12</vt:lpstr>
      <vt:lpstr>question12dash</vt:lpstr>
      <vt:lpstr>SealSlabPene</vt:lpstr>
      <vt:lpstr>Sprink2ft</vt:lpstr>
      <vt:lpstr>SqFt</vt:lpstr>
      <vt:lpstr>Termites</vt:lpstr>
      <vt:lpstr>understand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cooksb;Dr. Jennifer Languell</dc:creator>
  <cp:lastModifiedBy>Stacy Ossowicz</cp:lastModifiedBy>
  <cp:lastPrinted>2018-10-08T13:22:32Z</cp:lastPrinted>
  <dcterms:created xsi:type="dcterms:W3CDTF">2011-06-23T14:01:19Z</dcterms:created>
  <dcterms:modified xsi:type="dcterms:W3CDTF">2022-04-05T14:10:00Z</dcterms:modified>
</cp:coreProperties>
</file>